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13_ncr:40009_{70F6A858-E5BF-4311-9B9A-363CDDCB7655}" xr6:coauthVersionLast="47" xr6:coauthVersionMax="47" xr10:uidLastSave="{00000000-0000-0000-0000-000000000000}"/>
  <bookViews>
    <workbookView xWindow="-108" yWindow="-108" windowWidth="23256" windowHeight="12456"/>
  </bookViews>
  <sheets>
    <sheet name="ddm3st.xls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C47" i="1"/>
  <c r="D91" i="1" s="1"/>
  <c r="C52" i="1"/>
  <c r="E94" i="1" s="1"/>
  <c r="E75" i="1"/>
  <c r="D84" i="1"/>
  <c r="D85" i="1"/>
  <c r="D89" i="1"/>
  <c r="D92" i="1" s="1"/>
  <c r="E89" i="1"/>
  <c r="D90" i="1"/>
  <c r="E90" i="1"/>
  <c r="E91" i="1"/>
  <c r="C97" i="1"/>
  <c r="D97" i="1"/>
  <c r="E97" i="1"/>
  <c r="F97" i="1"/>
  <c r="G97" i="1"/>
  <c r="H97" i="1"/>
  <c r="I97" i="1"/>
  <c r="J97" i="1"/>
  <c r="K97" i="1"/>
  <c r="L97" i="1"/>
  <c r="C103" i="1"/>
  <c r="C105" i="1" s="1"/>
  <c r="D105" i="1" s="1"/>
  <c r="E105" i="1" s="1"/>
  <c r="F105" i="1" s="1"/>
  <c r="G105" i="1" s="1"/>
  <c r="H105" i="1" s="1"/>
  <c r="I105" i="1" s="1"/>
  <c r="J105" i="1" s="1"/>
  <c r="D103" i="1"/>
  <c r="E103" i="1"/>
  <c r="F103" i="1"/>
  <c r="G103" i="1"/>
  <c r="H103" i="1"/>
  <c r="I103" i="1"/>
  <c r="J103" i="1"/>
  <c r="K103" i="1"/>
  <c r="L103" i="1"/>
  <c r="E113" i="1"/>
  <c r="K104" i="1"/>
  <c r="L104" i="1"/>
  <c r="E114" i="1"/>
  <c r="K105" i="1"/>
  <c r="L105" i="1"/>
  <c r="K106" i="1"/>
  <c r="L106" i="1"/>
  <c r="K107" i="1"/>
  <c r="L107" i="1"/>
  <c r="E115" i="1"/>
  <c r="C108" i="1" s="1"/>
  <c r="K108" i="1"/>
  <c r="L108" i="1"/>
  <c r="K109" i="1"/>
  <c r="L109" i="1"/>
  <c r="K110" i="1"/>
  <c r="L110" i="1"/>
  <c r="C98" i="1" l="1"/>
  <c r="D98" i="1" s="1"/>
  <c r="E98" i="1" s="1"/>
  <c r="F98" i="1" s="1"/>
  <c r="G98" i="1" s="1"/>
  <c r="H98" i="1" s="1"/>
  <c r="I98" i="1" s="1"/>
  <c r="J98" i="1" s="1"/>
  <c r="K98" i="1" s="1"/>
  <c r="L98" i="1" s="1"/>
  <c r="C104" i="1"/>
  <c r="D104" i="1" s="1"/>
  <c r="E104" i="1" s="1"/>
  <c r="F104" i="1" s="1"/>
  <c r="G104" i="1" s="1"/>
  <c r="H104" i="1" s="1"/>
  <c r="I104" i="1" s="1"/>
  <c r="J104" i="1" s="1"/>
  <c r="C99" i="1"/>
  <c r="C100" i="1" s="1"/>
  <c r="D108" i="1"/>
  <c r="C109" i="1"/>
  <c r="C106" i="1"/>
  <c r="C51" i="1"/>
  <c r="E108" i="1" l="1"/>
  <c r="D109" i="1"/>
  <c r="C107" i="1"/>
  <c r="C110" i="1" s="1"/>
  <c r="D106" i="1"/>
  <c r="E116" i="1"/>
  <c r="D99" i="1"/>
  <c r="D100" i="1" l="1"/>
  <c r="E99" i="1"/>
  <c r="D107" i="1"/>
  <c r="D110" i="1" s="1"/>
  <c r="E106" i="1"/>
  <c r="E109" i="1"/>
  <c r="F108" i="1"/>
  <c r="G108" i="1" l="1"/>
  <c r="F109" i="1"/>
  <c r="E107" i="1"/>
  <c r="E110" i="1" s="1"/>
  <c r="F106" i="1"/>
  <c r="E100" i="1"/>
  <c r="F99" i="1"/>
  <c r="F100" i="1" l="1"/>
  <c r="G99" i="1"/>
  <c r="F107" i="1"/>
  <c r="F110" i="1" s="1"/>
  <c r="G106" i="1"/>
  <c r="G109" i="1"/>
  <c r="H108" i="1"/>
  <c r="H106" i="1" l="1"/>
  <c r="G107" i="1"/>
  <c r="G110" i="1" s="1"/>
  <c r="H109" i="1"/>
  <c r="I108" i="1"/>
  <c r="H99" i="1"/>
  <c r="G100" i="1"/>
  <c r="H100" i="1" l="1"/>
  <c r="I99" i="1"/>
  <c r="I109" i="1"/>
  <c r="F120" i="1" s="1"/>
  <c r="J108" i="1"/>
  <c r="J109" i="1" s="1"/>
  <c r="H107" i="1"/>
  <c r="H110" i="1" s="1"/>
  <c r="I106" i="1"/>
  <c r="J106" i="1" l="1"/>
  <c r="J107" i="1" s="1"/>
  <c r="J110" i="1" s="1"/>
  <c r="I107" i="1"/>
  <c r="I110" i="1" s="1"/>
  <c r="I100" i="1"/>
  <c r="J99" i="1"/>
  <c r="K99" i="1" l="1"/>
  <c r="J100" i="1"/>
  <c r="F119" i="1"/>
  <c r="L99" i="1" l="1"/>
  <c r="L100" i="1" s="1"/>
  <c r="K100" i="1"/>
  <c r="F118" i="1" l="1"/>
  <c r="F121" i="1" s="1"/>
</calcChain>
</file>

<file path=xl/sharedStrings.xml><?xml version="1.0" encoding="utf-8"?>
<sst xmlns="http://schemas.openxmlformats.org/spreadsheetml/2006/main" count="142" uniqueCount="95">
  <si>
    <t>Do you want to change any of these inputs for the high growth period?</t>
  </si>
  <si>
    <t>If yes, specify the values for these inputs (Please enter all variables)</t>
  </si>
  <si>
    <t>Do you want to change any of these inputs for the stable growth period?</t>
  </si>
  <si>
    <t xml:space="preserve">If yes, specify the values for these inputs </t>
  </si>
  <si>
    <t>Specify weights to be assigned to each of these growth rates:</t>
  </si>
  <si>
    <t>Historical Growth Rate  =</t>
  </si>
  <si>
    <t>Outside Prediction of Growth =</t>
  </si>
  <si>
    <t>Fundamental Estimate of Growth =</t>
  </si>
  <si>
    <t>Growth Rate during the transition period</t>
  </si>
  <si>
    <t>Enter length of the transition period =</t>
  </si>
  <si>
    <t>Do you want the payout ratio to adjust gradually to stable payout?</t>
  </si>
  <si>
    <t>If no, enter the payout ratio for the transition period =</t>
  </si>
  <si>
    <t>Do you want the beta to adjust gradually to stable beta?</t>
  </si>
  <si>
    <t>If no, enter the beta for the transition period =</t>
  </si>
  <si>
    <t>Growth Rate during the stable phase</t>
  </si>
  <si>
    <t>Enter growth rate in stable growth period?</t>
  </si>
  <si>
    <t>Stable payout ratio from fundamentals is =</t>
  </si>
  <si>
    <t>Do you want to change this payout ratio?</t>
  </si>
  <si>
    <t>If yes, enter the stable payout ratio=</t>
  </si>
  <si>
    <t>Will the beta to change in the stable period?</t>
  </si>
  <si>
    <t>If yes, enter the beta for stable period =</t>
  </si>
  <si>
    <t>Output from the program</t>
  </si>
  <si>
    <t>Initial High Growth Phase</t>
  </si>
  <si>
    <t>Cost of Equity =</t>
  </si>
  <si>
    <t>Current Earnings per share=</t>
  </si>
  <si>
    <t>Growth Rate in Earnings per share - Initial High Growth phase</t>
  </si>
  <si>
    <t>Growth Rate</t>
  </si>
  <si>
    <t>Weight</t>
  </si>
  <si>
    <t>Historical Growth =</t>
  </si>
  <si>
    <t>Outside Estimates =</t>
  </si>
  <si>
    <t>Fundamental Growth =</t>
  </si>
  <si>
    <t>Weighted Average</t>
  </si>
  <si>
    <t>Payout Ratio for high growth phase=</t>
  </si>
  <si>
    <t>The dividends for the high growth phase are shown below (upto 10 years)</t>
  </si>
  <si>
    <t>Year</t>
  </si>
  <si>
    <t>Earnings</t>
  </si>
  <si>
    <t>Dividends</t>
  </si>
  <si>
    <t>Present Value</t>
  </si>
  <si>
    <t>Transition period (upto ten years)</t>
  </si>
  <si>
    <t>Payout Ratio</t>
  </si>
  <si>
    <t>Beta</t>
  </si>
  <si>
    <t xml:space="preserve">Cost of Equity </t>
  </si>
  <si>
    <t xml:space="preserve"> Stable Growth Phase</t>
  </si>
  <si>
    <t>Growth Rate in Stable Phase =</t>
  </si>
  <si>
    <t>Payout Ratio in Stable Phase =</t>
  </si>
  <si>
    <t>Cost of Equity in Stable Phase =</t>
  </si>
  <si>
    <t>Price at the end of growth phase =</t>
  </si>
  <si>
    <t>Present Value of dividends in high growth phase =</t>
  </si>
  <si>
    <t>Present Value of dividends in transition phase =</t>
  </si>
  <si>
    <t>Present Value of Terminal Price =</t>
  </si>
  <si>
    <t>Value of the stock =</t>
  </si>
  <si>
    <t>Last year</t>
  </si>
  <si>
    <t>THREE-STAGE DIVIDEND DISCOUNT MODEL</t>
  </si>
  <si>
    <t>This model is designed to value the equity in a firm with three stages of</t>
  </si>
  <si>
    <t>growth - an initial period of high growth, a transition period of declining</t>
  </si>
  <si>
    <t>growth and a final period of stable growth.</t>
  </si>
  <si>
    <t>Assumptions</t>
  </si>
  <si>
    <t>1. The firm is assumed to be in an extraordinary growth phase currently.</t>
  </si>
  <si>
    <t>2. This extraordinary growth is expected to last for an initial period that has to be specified.</t>
  </si>
  <si>
    <t>3. The growth rate declines linearly over the transition period to a stable growth rate.</t>
  </si>
  <si>
    <t>4. The firm's dividend payout ratio changes consistently with the growth rate.</t>
  </si>
  <si>
    <t>The user should enter the following inputs:</t>
  </si>
  <si>
    <t>1. Length of each growth phase</t>
  </si>
  <si>
    <t>2. Growth rate in each growth phase</t>
  </si>
  <si>
    <t>3. Dividend payout ratios in each growth phase.</t>
  </si>
  <si>
    <t>4. Costs of Equity in each growth phase</t>
  </si>
  <si>
    <t>Inputs to the model</t>
  </si>
  <si>
    <t>Current Earnings per share =</t>
  </si>
  <si>
    <t>(in currency)</t>
  </si>
  <si>
    <t>Current Dividends per share =</t>
  </si>
  <si>
    <t>Do you want to enter cost of equity directly?</t>
  </si>
  <si>
    <t>No</t>
  </si>
  <si>
    <t>(Yes or No)</t>
  </si>
  <si>
    <t>If yes, enter the cost of equity =</t>
  </si>
  <si>
    <t>(in percent)</t>
  </si>
  <si>
    <t>If no, enter the inputs to the cost of equity</t>
  </si>
  <si>
    <t>Beta of the stock =</t>
  </si>
  <si>
    <t>Riskfree rate=</t>
  </si>
  <si>
    <t>Risk Premium=</t>
  </si>
  <si>
    <t>Growth Rate during the initial high growth phase</t>
  </si>
  <si>
    <t>Enter length of extraordinary growth period =</t>
  </si>
  <si>
    <t>(in years)</t>
  </si>
  <si>
    <t>Do you want to use the historical growth rate?</t>
  </si>
  <si>
    <t>Yes</t>
  </si>
  <si>
    <t>If yes, enter EPS from five years ago =</t>
  </si>
  <si>
    <t>Do you have an outside estimate of growth ?</t>
  </si>
  <si>
    <t>If yes, enter the estimated growth:</t>
  </si>
  <si>
    <t>Do you want to calculate the growth rate from fundamentals?</t>
  </si>
  <si>
    <t>If yes, enter the following inputs:</t>
  </si>
  <si>
    <t>Net Income Currently =</t>
  </si>
  <si>
    <t>Book Value of Equity =</t>
  </si>
  <si>
    <t>Tax Rate on Income=</t>
  </si>
  <si>
    <t>The following will be the inputs to the fundamental growth formulation:</t>
  </si>
  <si>
    <t>ROE =</t>
  </si>
  <si>
    <t>Retention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</si>
</sst>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&quot;$&quot;#,##0.00_);[Red]\(&quot;$&quot;#,##0.00\)"/>
    <numFmt numFmtId="172" formatCode="0.0%"/>
  </numFmts>
  <fonts count="9">
    <font>
      <sz val="10"/>
      <name val="Geneva"/>
    </font>
    <font>
      <sz val="10"/>
      <name val="Geneva"/>
    </font>
    <font>
      <sz val="18"/>
      <name val="Times"/>
    </font>
    <font>
      <sz val="14"/>
      <name val="Times"/>
    </font>
    <font>
      <b/>
      <sz val="12"/>
      <name val="Times"/>
    </font>
    <font>
      <sz val="12"/>
      <name val="Times"/>
    </font>
    <font>
      <sz val="10"/>
      <name val="Times"/>
    </font>
    <font>
      <i/>
      <sz val="10"/>
      <name val="Times"/>
    </font>
    <font>
      <b/>
      <sz val="10"/>
      <name val="Times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6" fillId="0" borderId="0" xfId="0" applyFont="1"/>
    <xf numFmtId="0" fontId="6" fillId="0" borderId="0" xfId="0" applyFont="1" applyAlignment="1">
      <alignment horizontal="centerContinuous"/>
    </xf>
    <xf numFmtId="167" fontId="6" fillId="0" borderId="9" xfId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10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7" fontId="6" fillId="0" borderId="9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0" fontId="7" fillId="0" borderId="9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167" fontId="6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167" fontId="8" fillId="0" borderId="9" xfId="1" applyFont="1" applyBorder="1" applyAlignment="1">
      <alignment horizontal="center"/>
    </xf>
    <xf numFmtId="167" fontId="6" fillId="2" borderId="9" xfId="1" applyFont="1" applyFill="1" applyBorder="1" applyAlignment="1">
      <alignment horizontal="center"/>
    </xf>
    <xf numFmtId="0" fontId="6" fillId="2" borderId="9" xfId="0" applyFont="1" applyFill="1" applyBorder="1" applyAlignment="1" applyProtection="1">
      <alignment horizontal="center"/>
    </xf>
    <xf numFmtId="10" fontId="6" fillId="2" borderId="9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0" fontId="6" fillId="2" borderId="9" xfId="2" applyNumberFormat="1" applyFont="1" applyFill="1" applyBorder="1" applyAlignment="1">
      <alignment horizontal="center"/>
    </xf>
    <xf numFmtId="0" fontId="6" fillId="0" borderId="9" xfId="0" applyFont="1" applyBorder="1"/>
    <xf numFmtId="167" fontId="6" fillId="2" borderId="9" xfId="0" applyNumberFormat="1" applyFont="1" applyFill="1" applyBorder="1" applyAlignment="1">
      <alignment horizontal="center"/>
    </xf>
    <xf numFmtId="167" fontId="6" fillId="2" borderId="9" xfId="1" applyFont="1" applyFill="1" applyBorder="1"/>
    <xf numFmtId="172" fontId="6" fillId="2" borderId="9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0" fontId="7" fillId="0" borderId="9" xfId="0" applyFont="1" applyBorder="1"/>
    <xf numFmtId="1" fontId="7" fillId="0" borderId="9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showGridLines="0" showZeros="0" tabSelected="1" workbookViewId="0">
      <selection activeCell="L9" sqref="L9"/>
    </sheetView>
  </sheetViews>
  <sheetFormatPr defaultColWidth="12.44140625" defaultRowHeight="13.2"/>
  <cols>
    <col min="1" max="1" width="2.6640625" customWidth="1"/>
  </cols>
  <sheetData>
    <row r="1" spans="2:9" ht="19.95" customHeight="1">
      <c r="B1" s="1" t="s">
        <v>52</v>
      </c>
      <c r="C1" s="2"/>
      <c r="D1" s="2"/>
      <c r="E1" s="2"/>
      <c r="F1" s="2"/>
      <c r="G1" s="2"/>
      <c r="H1" s="2"/>
      <c r="I1" s="2"/>
    </row>
    <row r="2" spans="2:9" ht="19.95" customHeight="1" thickBot="1">
      <c r="B2" s="1"/>
      <c r="C2" s="2"/>
      <c r="D2" s="2"/>
      <c r="E2" s="2"/>
      <c r="F2" s="2"/>
      <c r="G2" s="2"/>
      <c r="H2" s="2"/>
      <c r="I2" s="2"/>
    </row>
    <row r="3" spans="2:9" ht="19.95" customHeight="1">
      <c r="B3" s="6" t="s">
        <v>53</v>
      </c>
      <c r="C3" s="7"/>
      <c r="D3" s="7"/>
      <c r="E3" s="7"/>
      <c r="F3" s="7"/>
      <c r="G3" s="8"/>
    </row>
    <row r="4" spans="2:9" ht="19.95" customHeight="1">
      <c r="B4" s="9" t="s">
        <v>54</v>
      </c>
      <c r="C4" s="10"/>
      <c r="D4" s="10"/>
      <c r="E4" s="10"/>
      <c r="F4" s="10"/>
      <c r="G4" s="11"/>
    </row>
    <row r="5" spans="2:9" ht="19.95" customHeight="1" thickBot="1">
      <c r="B5" s="12" t="s">
        <v>55</v>
      </c>
      <c r="C5" s="13"/>
      <c r="D5" s="13"/>
      <c r="E5" s="13"/>
      <c r="F5" s="13"/>
      <c r="G5" s="14"/>
    </row>
    <row r="6" spans="2:9" s="15" customFormat="1" ht="19.95" customHeight="1">
      <c r="B6" s="3"/>
    </row>
    <row r="7" spans="2:9" s="15" customFormat="1" ht="19.95" customHeight="1">
      <c r="B7" s="19"/>
    </row>
    <row r="8" spans="2:9" s="15" customFormat="1" ht="19.95" customHeight="1">
      <c r="B8" s="19" t="s">
        <v>56</v>
      </c>
    </row>
    <row r="9" spans="2:9" s="15" customFormat="1" ht="19.95" customHeight="1">
      <c r="B9" s="15" t="s">
        <v>57</v>
      </c>
    </row>
    <row r="10" spans="2:9" s="15" customFormat="1" ht="19.95" customHeight="1">
      <c r="B10" s="15" t="s">
        <v>58</v>
      </c>
    </row>
    <row r="11" spans="2:9" s="15" customFormat="1" ht="19.95" customHeight="1">
      <c r="B11" s="15" t="s">
        <v>59</v>
      </c>
    </row>
    <row r="12" spans="2:9" s="15" customFormat="1" ht="19.95" customHeight="1">
      <c r="B12" s="15" t="s">
        <v>60</v>
      </c>
    </row>
    <row r="13" spans="2:9" s="15" customFormat="1" ht="19.95" customHeight="1"/>
    <row r="14" spans="2:9" s="15" customFormat="1" ht="19.95" customHeight="1">
      <c r="B14" s="19" t="s">
        <v>61</v>
      </c>
    </row>
    <row r="15" spans="2:9" s="15" customFormat="1" ht="19.95" customHeight="1">
      <c r="B15" s="15" t="s">
        <v>62</v>
      </c>
    </row>
    <row r="16" spans="2:9" s="15" customFormat="1" ht="19.95" customHeight="1">
      <c r="B16" s="15" t="s">
        <v>63</v>
      </c>
    </row>
    <row r="17" spans="1:9" s="15" customFormat="1" ht="19.95" customHeight="1">
      <c r="B17" s="15" t="s">
        <v>64</v>
      </c>
    </row>
    <row r="18" spans="1:9" s="15" customFormat="1" ht="19.95" customHeight="1">
      <c r="B18" s="15" t="s">
        <v>65</v>
      </c>
    </row>
    <row r="19" spans="1:9" s="15" customFormat="1" ht="19.95" customHeight="1"/>
    <row r="20" spans="1:9" s="15" customFormat="1" ht="19.95" customHeight="1"/>
    <row r="21" spans="1:9" s="15" customFormat="1" ht="19.95" customHeight="1">
      <c r="A21" s="16"/>
      <c r="B21" s="20" t="s">
        <v>66</v>
      </c>
      <c r="C21" s="16"/>
      <c r="D21" s="16"/>
      <c r="E21" s="16"/>
      <c r="F21" s="16"/>
      <c r="G21" s="16"/>
      <c r="H21" s="16"/>
      <c r="I21" s="16"/>
    </row>
    <row r="22" spans="1:9" s="15" customFormat="1" ht="19.95" customHeight="1">
      <c r="B22" s="15" t="s">
        <v>67</v>
      </c>
      <c r="D22" s="34">
        <v>1.43</v>
      </c>
      <c r="E22" s="21" t="s">
        <v>68</v>
      </c>
    </row>
    <row r="23" spans="1:9" s="15" customFormat="1" ht="19.95" customHeight="1">
      <c r="B23" s="15" t="s">
        <v>69</v>
      </c>
      <c r="D23" s="34">
        <v>0.56000000000000005</v>
      </c>
      <c r="E23" s="21" t="s">
        <v>68</v>
      </c>
    </row>
    <row r="24" spans="1:9" s="15" customFormat="1" ht="19.95" customHeight="1"/>
    <row r="25" spans="1:9" s="15" customFormat="1" ht="19.95" customHeight="1">
      <c r="B25" s="15" t="s">
        <v>70</v>
      </c>
      <c r="E25" s="35" t="s">
        <v>71</v>
      </c>
      <c r="F25" s="21" t="s">
        <v>72</v>
      </c>
    </row>
    <row r="26" spans="1:9" s="15" customFormat="1" ht="19.95" customHeight="1">
      <c r="B26" s="15" t="s">
        <v>73</v>
      </c>
      <c r="E26" s="36"/>
      <c r="F26" s="21" t="s">
        <v>74</v>
      </c>
    </row>
    <row r="27" spans="1:9" s="15" customFormat="1" ht="19.95" customHeight="1">
      <c r="B27" s="18" t="s">
        <v>75</v>
      </c>
      <c r="F27" s="21"/>
    </row>
    <row r="28" spans="1:9" s="15" customFormat="1" ht="19.95" customHeight="1">
      <c r="B28" s="15" t="s">
        <v>76</v>
      </c>
      <c r="D28" s="37">
        <v>1.1000000000000001</v>
      </c>
      <c r="F28" s="21"/>
    </row>
    <row r="29" spans="1:9" s="15" customFormat="1" ht="19.95" customHeight="1">
      <c r="B29" s="15" t="s">
        <v>77</v>
      </c>
      <c r="D29" s="36">
        <v>7.0000000000000007E-2</v>
      </c>
      <c r="E29" s="21" t="s">
        <v>74</v>
      </c>
      <c r="F29" s="21"/>
    </row>
    <row r="30" spans="1:9" s="15" customFormat="1" ht="19.95" customHeight="1">
      <c r="B30" s="15" t="s">
        <v>78</v>
      </c>
      <c r="D30" s="36">
        <v>5.5E-2</v>
      </c>
      <c r="E30" s="21" t="s">
        <v>74</v>
      </c>
      <c r="F30" s="21"/>
    </row>
    <row r="31" spans="1:9" s="15" customFormat="1" ht="19.95" customHeight="1">
      <c r="F31" s="21"/>
    </row>
    <row r="32" spans="1:9" s="15" customFormat="1" ht="19.95" customHeight="1">
      <c r="B32" s="19" t="s">
        <v>79</v>
      </c>
      <c r="F32" s="21"/>
    </row>
    <row r="33" spans="2:7" s="15" customFormat="1" ht="19.95" customHeight="1">
      <c r="B33" s="15" t="s">
        <v>80</v>
      </c>
      <c r="E33" s="38">
        <v>10</v>
      </c>
      <c r="F33" s="21" t="s">
        <v>81</v>
      </c>
    </row>
    <row r="34" spans="2:7" s="15" customFormat="1" ht="19.95" customHeight="1">
      <c r="B34" s="19"/>
      <c r="F34" s="21"/>
    </row>
    <row r="35" spans="2:7" s="15" customFormat="1" ht="19.95" customHeight="1">
      <c r="B35" s="15" t="s">
        <v>82</v>
      </c>
      <c r="E35" s="39" t="s">
        <v>83</v>
      </c>
      <c r="F35" s="21" t="s">
        <v>72</v>
      </c>
    </row>
    <row r="36" spans="2:7" s="15" customFormat="1" ht="19.95" customHeight="1">
      <c r="B36" s="15" t="s">
        <v>84</v>
      </c>
      <c r="E36" s="34">
        <v>0.61</v>
      </c>
      <c r="F36" s="21" t="s">
        <v>68</v>
      </c>
    </row>
    <row r="37" spans="2:7" s="15" customFormat="1" ht="19.95" customHeight="1">
      <c r="F37" s="21"/>
    </row>
    <row r="38" spans="2:7" s="15" customFormat="1" ht="19.95" customHeight="1">
      <c r="B38" s="15" t="s">
        <v>85</v>
      </c>
      <c r="E38" s="39" t="s">
        <v>83</v>
      </c>
      <c r="F38" s="21" t="s">
        <v>72</v>
      </c>
    </row>
    <row r="39" spans="2:7" s="15" customFormat="1" ht="19.95" customHeight="1">
      <c r="B39" s="15" t="s">
        <v>86</v>
      </c>
      <c r="E39" s="40">
        <v>0.17</v>
      </c>
      <c r="F39" s="21" t="s">
        <v>74</v>
      </c>
    </row>
    <row r="40" spans="2:7" s="15" customFormat="1" ht="19.95" customHeight="1">
      <c r="F40" s="21"/>
    </row>
    <row r="41" spans="2:7" s="15" customFormat="1" ht="19.95" customHeight="1">
      <c r="B41" s="15" t="s">
        <v>87</v>
      </c>
      <c r="F41" s="39" t="s">
        <v>71</v>
      </c>
      <c r="G41" s="21" t="s">
        <v>72</v>
      </c>
    </row>
    <row r="42" spans="2:7" s="15" customFormat="1" ht="19.95" customHeight="1">
      <c r="B42" s="18" t="s">
        <v>88</v>
      </c>
      <c r="F42" s="21"/>
    </row>
    <row r="43" spans="2:7" s="15" customFormat="1" ht="19.95" customHeight="1">
      <c r="B43" s="15" t="s">
        <v>89</v>
      </c>
      <c r="D43" s="42">
        <v>0</v>
      </c>
      <c r="E43" s="21" t="s">
        <v>51</v>
      </c>
      <c r="F43" s="21" t="s">
        <v>68</v>
      </c>
    </row>
    <row r="44" spans="2:7" s="15" customFormat="1" ht="19.95" customHeight="1">
      <c r="B44" s="15" t="s">
        <v>90</v>
      </c>
      <c r="D44" s="42">
        <v>0</v>
      </c>
      <c r="E44" s="43">
        <v>0</v>
      </c>
      <c r="F44" s="21" t="s">
        <v>68</v>
      </c>
    </row>
    <row r="45" spans="2:7" s="15" customFormat="1" ht="19.95" customHeight="1">
      <c r="B45" s="15" t="s">
        <v>91</v>
      </c>
      <c r="D45" s="40">
        <v>0</v>
      </c>
      <c r="F45" s="21" t="s">
        <v>74</v>
      </c>
    </row>
    <row r="46" spans="2:7" s="15" customFormat="1" ht="19.95" customHeight="1">
      <c r="B46" s="18" t="s">
        <v>92</v>
      </c>
      <c r="F46" s="21"/>
    </row>
    <row r="47" spans="2:7" s="15" customFormat="1" ht="19.95" customHeight="1">
      <c r="B47" s="15" t="s">
        <v>93</v>
      </c>
      <c r="C47" s="36" t="str">
        <f>IF(E44&gt;0,D43/E44,"NA")</f>
        <v>NA</v>
      </c>
      <c r="D47" s="21" t="s">
        <v>74</v>
      </c>
    </row>
    <row r="48" spans="2:7" s="15" customFormat="1" ht="19.95" customHeight="1">
      <c r="B48" s="15" t="s">
        <v>94</v>
      </c>
      <c r="C48" s="36">
        <f>1-D23/D22</f>
        <v>0.60839160839160833</v>
      </c>
      <c r="D48" s="21" t="s">
        <v>74</v>
      </c>
    </row>
    <row r="49" spans="2:8" s="15" customFormat="1" ht="19.95" customHeight="1">
      <c r="B49" s="15" t="s">
        <v>0</v>
      </c>
      <c r="F49" s="21"/>
      <c r="G49" s="39" t="s">
        <v>71</v>
      </c>
      <c r="H49" s="21" t="s">
        <v>72</v>
      </c>
    </row>
    <row r="50" spans="2:8" s="15" customFormat="1" ht="19.95" customHeight="1">
      <c r="B50" s="18" t="s">
        <v>1</v>
      </c>
      <c r="F50" s="21"/>
    </row>
    <row r="51" spans="2:8" s="15" customFormat="1" ht="19.95" customHeight="1">
      <c r="B51" s="15" t="s">
        <v>93</v>
      </c>
      <c r="C51" s="36" t="str">
        <f>C47</f>
        <v>NA</v>
      </c>
      <c r="D51" s="21" t="s">
        <v>74</v>
      </c>
    </row>
    <row r="52" spans="2:8" s="15" customFormat="1" ht="19.95" customHeight="1">
      <c r="B52" s="15" t="s">
        <v>94</v>
      </c>
      <c r="C52" s="36">
        <f>C48</f>
        <v>0.60839160839160833</v>
      </c>
      <c r="D52" s="21" t="s">
        <v>74</v>
      </c>
    </row>
    <row r="53" spans="2:8" s="15" customFormat="1" ht="19.95" customHeight="1">
      <c r="B53" s="15" t="s">
        <v>2</v>
      </c>
      <c r="C53" s="21"/>
      <c r="E53" s="21"/>
      <c r="F53" s="21"/>
      <c r="G53" s="39" t="s">
        <v>83</v>
      </c>
      <c r="H53" s="21" t="s">
        <v>72</v>
      </c>
    </row>
    <row r="54" spans="2:8" s="15" customFormat="1" ht="19.95" customHeight="1">
      <c r="B54" s="18" t="s">
        <v>3</v>
      </c>
      <c r="C54" s="21"/>
      <c r="E54" s="21"/>
      <c r="F54" s="21"/>
    </row>
    <row r="55" spans="2:8" s="15" customFormat="1" ht="19.95" customHeight="1">
      <c r="B55" s="15" t="s">
        <v>93</v>
      </c>
      <c r="C55" s="36">
        <v>0.2</v>
      </c>
      <c r="D55" s="21" t="s">
        <v>74</v>
      </c>
    </row>
    <row r="56" spans="2:8" s="15" customFormat="1" ht="19.95" customHeight="1">
      <c r="C56" s="25"/>
      <c r="D56" s="21" t="s">
        <v>74</v>
      </c>
    </row>
    <row r="57" spans="2:8" s="15" customFormat="1" ht="19.95" customHeight="1">
      <c r="E57" s="21"/>
      <c r="F57" s="21"/>
    </row>
    <row r="58" spans="2:8" s="15" customFormat="1" ht="19.95" customHeight="1">
      <c r="B58" s="18" t="s">
        <v>4</v>
      </c>
      <c r="E58" s="21"/>
      <c r="F58" s="21"/>
    </row>
    <row r="59" spans="2:8" s="15" customFormat="1" ht="19.95" customHeight="1">
      <c r="B59" s="15" t="s">
        <v>5</v>
      </c>
      <c r="E59" s="36">
        <v>0.2</v>
      </c>
      <c r="F59" s="21" t="s">
        <v>74</v>
      </c>
    </row>
    <row r="60" spans="2:8" s="15" customFormat="1" ht="19.95" customHeight="1">
      <c r="B60" s="15" t="s">
        <v>6</v>
      </c>
      <c r="E60" s="36">
        <v>0.4</v>
      </c>
      <c r="F60" s="21" t="s">
        <v>74</v>
      </c>
    </row>
    <row r="61" spans="2:8" s="15" customFormat="1" ht="19.95" customHeight="1">
      <c r="B61" s="15" t="s">
        <v>7</v>
      </c>
      <c r="E61" s="36">
        <v>0.4</v>
      </c>
      <c r="F61" s="21" t="s">
        <v>74</v>
      </c>
    </row>
    <row r="62" spans="2:8" s="15" customFormat="1" ht="19.95" customHeight="1"/>
    <row r="63" spans="2:8" s="15" customFormat="1" ht="19.95" customHeight="1">
      <c r="B63" s="19" t="s">
        <v>8</v>
      </c>
    </row>
    <row r="64" spans="2:8" s="15" customFormat="1" ht="19.95" customHeight="1">
      <c r="B64" s="15" t="s">
        <v>9</v>
      </c>
      <c r="E64" s="39">
        <v>8</v>
      </c>
      <c r="F64" s="21" t="s">
        <v>81</v>
      </c>
    </row>
    <row r="65" spans="2:8" s="15" customFormat="1" ht="19.95" customHeight="1">
      <c r="F65" s="21"/>
    </row>
    <row r="66" spans="2:8" s="15" customFormat="1" ht="19.95" customHeight="1">
      <c r="B66" s="15" t="s">
        <v>10</v>
      </c>
      <c r="G66" s="39" t="s">
        <v>83</v>
      </c>
      <c r="H66" s="21" t="s">
        <v>72</v>
      </c>
    </row>
    <row r="67" spans="2:8" s="15" customFormat="1" ht="19.95" customHeight="1">
      <c r="B67" s="15" t="s">
        <v>11</v>
      </c>
      <c r="G67" s="39"/>
      <c r="H67" s="21" t="s">
        <v>74</v>
      </c>
    </row>
    <row r="68" spans="2:8" s="15" customFormat="1" ht="19.95" customHeight="1">
      <c r="G68" s="26"/>
      <c r="H68" s="21"/>
    </row>
    <row r="69" spans="2:8" s="15" customFormat="1" ht="19.95" customHeight="1">
      <c r="B69" s="15" t="s">
        <v>12</v>
      </c>
      <c r="G69" s="39" t="s">
        <v>83</v>
      </c>
      <c r="H69" s="21" t="s">
        <v>72</v>
      </c>
    </row>
    <row r="70" spans="2:8" s="15" customFormat="1" ht="19.95" customHeight="1">
      <c r="B70" s="15" t="s">
        <v>13</v>
      </c>
      <c r="G70" s="39"/>
    </row>
    <row r="71" spans="2:8" s="15" customFormat="1" ht="19.95" customHeight="1"/>
    <row r="72" spans="2:8" s="15" customFormat="1" ht="19.95" customHeight="1">
      <c r="B72" s="19" t="s">
        <v>14</v>
      </c>
    </row>
    <row r="73" spans="2:8" s="15" customFormat="1" ht="19.95" customHeight="1">
      <c r="B73" s="15" t="s">
        <v>15</v>
      </c>
      <c r="E73" s="36">
        <v>0.08</v>
      </c>
      <c r="F73" s="21" t="s">
        <v>74</v>
      </c>
    </row>
    <row r="74" spans="2:8" s="15" customFormat="1" ht="19.95" customHeight="1">
      <c r="E74" s="45"/>
      <c r="F74" s="21"/>
    </row>
    <row r="75" spans="2:8" s="15" customFormat="1" ht="19.95" customHeight="1">
      <c r="B75" s="15" t="s">
        <v>16</v>
      </c>
      <c r="E75" s="44">
        <f>1-E73/C55</f>
        <v>0.60000000000000009</v>
      </c>
      <c r="F75" s="21" t="s">
        <v>74</v>
      </c>
    </row>
    <row r="76" spans="2:8" s="15" customFormat="1" ht="19.95" customHeight="1">
      <c r="B76" s="15" t="s">
        <v>17</v>
      </c>
      <c r="E76" s="39" t="s">
        <v>71</v>
      </c>
      <c r="F76" s="21" t="s">
        <v>72</v>
      </c>
    </row>
    <row r="77" spans="2:8" s="15" customFormat="1" ht="19.95" customHeight="1">
      <c r="B77" s="15" t="s">
        <v>18</v>
      </c>
      <c r="E77" s="36"/>
      <c r="F77" s="21" t="s">
        <v>74</v>
      </c>
    </row>
    <row r="78" spans="2:8" s="15" customFormat="1" ht="19.95" customHeight="1">
      <c r="E78" s="46"/>
      <c r="F78" s="21"/>
    </row>
    <row r="79" spans="2:8" s="15" customFormat="1" ht="19.95" customHeight="1">
      <c r="B79" s="15" t="s">
        <v>19</v>
      </c>
      <c r="E79" s="39" t="s">
        <v>71</v>
      </c>
      <c r="F79" s="21" t="s">
        <v>72</v>
      </c>
    </row>
    <row r="80" spans="2:8" s="15" customFormat="1" ht="19.95" customHeight="1">
      <c r="B80" s="15" t="s">
        <v>20</v>
      </c>
      <c r="E80" s="39"/>
      <c r="F80" s="21"/>
    </row>
    <row r="81" spans="1:9" s="15" customFormat="1" ht="19.95" customHeight="1">
      <c r="E81" s="21"/>
      <c r="F81" s="21"/>
    </row>
    <row r="82" spans="1:9" s="15" customFormat="1" ht="19.95" customHeight="1">
      <c r="A82" s="16"/>
      <c r="B82" s="20" t="s">
        <v>21</v>
      </c>
      <c r="C82" s="16"/>
      <c r="D82" s="16"/>
      <c r="E82" s="16"/>
      <c r="F82" s="16"/>
      <c r="G82" s="16"/>
      <c r="H82" s="16"/>
      <c r="I82" s="16"/>
    </row>
    <row r="83" spans="1:9" s="15" customFormat="1" ht="19.95" customHeight="1">
      <c r="A83" s="16"/>
      <c r="B83" s="27" t="s">
        <v>22</v>
      </c>
      <c r="C83" s="16"/>
      <c r="D83" s="16"/>
      <c r="E83" s="16"/>
      <c r="F83" s="16"/>
      <c r="G83" s="16"/>
      <c r="H83" s="16"/>
      <c r="I83" s="16"/>
    </row>
    <row r="84" spans="1:9" s="15" customFormat="1" ht="19.95" customHeight="1">
      <c r="B84" s="15" t="s">
        <v>23</v>
      </c>
      <c r="D84" s="22">
        <f>IF(E25="Yes",E26,D29+D28*D30)</f>
        <v>0.1305</v>
      </c>
      <c r="E84" s="21"/>
      <c r="F84" s="21"/>
    </row>
    <row r="85" spans="1:9" s="15" customFormat="1" ht="19.95" customHeight="1">
      <c r="B85" s="15" t="s">
        <v>24</v>
      </c>
      <c r="D85" s="24">
        <f>D22</f>
        <v>1.43</v>
      </c>
      <c r="E85" s="21"/>
      <c r="F85" s="21"/>
    </row>
    <row r="86" spans="1:9" s="15" customFormat="1" ht="19.95" customHeight="1">
      <c r="E86" s="21"/>
      <c r="F86" s="21"/>
    </row>
    <row r="87" spans="1:9" s="15" customFormat="1" ht="19.95" customHeight="1">
      <c r="B87" s="15" t="s">
        <v>25</v>
      </c>
      <c r="E87" s="21"/>
      <c r="F87" s="21"/>
    </row>
    <row r="88" spans="1:9" s="18" customFormat="1" ht="19.95" customHeight="1">
      <c r="D88" s="18" t="s">
        <v>26</v>
      </c>
      <c r="E88" s="28" t="s">
        <v>27</v>
      </c>
      <c r="F88" s="28"/>
    </row>
    <row r="89" spans="1:9" s="15" customFormat="1" ht="19.95" customHeight="1">
      <c r="B89" s="15" t="s">
        <v>28</v>
      </c>
      <c r="D89" s="22">
        <f>(D22/E36)^(0.2)-1</f>
        <v>0.18577213512567559</v>
      </c>
      <c r="E89" s="22">
        <f>E59</f>
        <v>0.2</v>
      </c>
      <c r="F89" s="21"/>
    </row>
    <row r="90" spans="1:9" s="15" customFormat="1" ht="19.95" customHeight="1">
      <c r="B90" s="15" t="s">
        <v>29</v>
      </c>
      <c r="D90" s="22">
        <f>E39</f>
        <v>0.17</v>
      </c>
      <c r="E90" s="22">
        <f>E60</f>
        <v>0.4</v>
      </c>
      <c r="F90" s="21"/>
    </row>
    <row r="91" spans="1:9" s="15" customFormat="1" ht="19.95" customHeight="1">
      <c r="B91" s="15" t="s">
        <v>30</v>
      </c>
      <c r="D91" s="22">
        <f>IF(G49="No",IF(C47="NA",0,C48*C47),C52*C51)</f>
        <v>0</v>
      </c>
      <c r="E91" s="22">
        <f>E61</f>
        <v>0.4</v>
      </c>
      <c r="F91" s="21"/>
    </row>
    <row r="92" spans="1:9" s="18" customFormat="1" ht="19.95" customHeight="1">
      <c r="B92" s="18" t="s">
        <v>31</v>
      </c>
      <c r="D92" s="29">
        <f>D89*E89+D90*E90+D91*E91</f>
        <v>0.10515442702513512</v>
      </c>
      <c r="E92" s="28"/>
      <c r="F92" s="28"/>
    </row>
    <row r="93" spans="1:9" s="15" customFormat="1" ht="19.95" customHeight="1">
      <c r="E93" s="21"/>
      <c r="F93" s="21"/>
    </row>
    <row r="94" spans="1:9" s="15" customFormat="1" ht="19.95" customHeight="1">
      <c r="B94" s="15" t="s">
        <v>32</v>
      </c>
      <c r="E94" s="22">
        <f>1-C52</f>
        <v>0.39160839160839167</v>
      </c>
      <c r="F94" s="21"/>
    </row>
    <row r="95" spans="1:9" s="15" customFormat="1" ht="19.95" customHeight="1">
      <c r="E95" s="30"/>
      <c r="F95" s="21"/>
    </row>
    <row r="96" spans="1:9" s="15" customFormat="1" ht="19.95" customHeight="1">
      <c r="B96" s="18" t="s">
        <v>33</v>
      </c>
      <c r="E96" s="30"/>
      <c r="F96" s="21"/>
    </row>
    <row r="97" spans="2:13" s="18" customFormat="1" ht="19.95" customHeight="1">
      <c r="B97" s="47" t="s">
        <v>34</v>
      </c>
      <c r="C97" s="47">
        <f>IF(E33=0," ",1)</f>
        <v>1</v>
      </c>
      <c r="D97" s="47">
        <f>IF(E33=1," ",2)</f>
        <v>2</v>
      </c>
      <c r="E97" s="48">
        <f>IF(E33&lt;3," ",3)</f>
        <v>3</v>
      </c>
      <c r="F97" s="47">
        <f>IF(E33&lt;4," ",4)</f>
        <v>4</v>
      </c>
      <c r="G97" s="47">
        <f>IF($E$33&lt;5," ",5)</f>
        <v>5</v>
      </c>
      <c r="H97" s="47">
        <f>IF($E$33&lt;6," ",6)</f>
        <v>6</v>
      </c>
      <c r="I97" s="47">
        <f>IF($E$33&lt;7," ",7)</f>
        <v>7</v>
      </c>
      <c r="J97" s="47">
        <f>IF($E$33&lt;8," ",8)</f>
        <v>8</v>
      </c>
      <c r="K97" s="47">
        <f>IF($E$33&lt;9," ",9)</f>
        <v>9</v>
      </c>
      <c r="L97" s="47">
        <f>IF($E$33&lt;10," ",10)</f>
        <v>10</v>
      </c>
      <c r="M97" s="28"/>
    </row>
    <row r="98" spans="2:13" s="15" customFormat="1" ht="19.95" customHeight="1">
      <c r="B98" s="23" t="s">
        <v>35</v>
      </c>
      <c r="C98" s="17">
        <f>IF(E33&lt;1," ",D85*(1+D92))</f>
        <v>1.5803708306459432</v>
      </c>
      <c r="D98" s="17">
        <f>IF($E$33&lt;2," ",C98*(1+$D$92))</f>
        <v>1.7465538198297543</v>
      </c>
      <c r="E98" s="17">
        <f>IF($E$33&lt;3," ",D98*(1+$D$92))</f>
        <v>1.9302116860225134</v>
      </c>
      <c r="F98" s="17">
        <f>IF($E$33&lt;4," ",E98*(1+$D$92))</f>
        <v>2.1331819899034308</v>
      </c>
      <c r="G98" s="17">
        <f>IF($E$33&lt;5," ",F98*(1+$D$92))</f>
        <v>2.3574955197920637</v>
      </c>
      <c r="H98" s="17">
        <f>IF($E$33&lt;6," ",G98*(1+$D$92))</f>
        <v>2.6053966103901214</v>
      </c>
      <c r="I98" s="17">
        <f>IF($E$33&lt;7," ",H98*(1+$D$92))</f>
        <v>2.8793655981289241</v>
      </c>
      <c r="J98" s="17">
        <f>IF($E$33&lt;8," ",I98*(1+$D$92))</f>
        <v>3.1821436377960568</v>
      </c>
      <c r="K98" s="17">
        <f>IF($E$33&lt;9," ",J98*(1+$D$92))</f>
        <v>3.5167601287401804</v>
      </c>
      <c r="L98" s="17">
        <f>IF($E$33&lt;10," ",K98*(1+$D$92))</f>
        <v>3.8865630250626948</v>
      </c>
      <c r="M98" s="21"/>
    </row>
    <row r="99" spans="2:13" s="15" customFormat="1" ht="19.95" customHeight="1">
      <c r="B99" s="23" t="s">
        <v>36</v>
      </c>
      <c r="C99" s="17">
        <f>IF(E33&lt;1," ",D85*(1+D92)*E94)</f>
        <v>0.6188864791340758</v>
      </c>
      <c r="D99" s="17">
        <f t="shared" ref="D99:L99" si="0">IF($E$33&lt;D97," ",C99*(1+$D$92))</f>
        <v>0.68396513224102284</v>
      </c>
      <c r="E99" s="17">
        <f t="shared" si="0"/>
        <v>0.75588709382699848</v>
      </c>
      <c r="F99" s="17">
        <f t="shared" si="0"/>
        <v>0.8353719680740711</v>
      </c>
      <c r="G99" s="17">
        <f t="shared" si="0"/>
        <v>0.92321502872975958</v>
      </c>
      <c r="H99" s="17">
        <f t="shared" si="0"/>
        <v>1.0202951760968313</v>
      </c>
      <c r="I99" s="17">
        <f t="shared" si="0"/>
        <v>1.127583730735803</v>
      </c>
      <c r="J99" s="17">
        <f t="shared" si="0"/>
        <v>1.2461541518641908</v>
      </c>
      <c r="K99" s="17">
        <f t="shared" si="0"/>
        <v>1.3771927776884632</v>
      </c>
      <c r="L99" s="17">
        <f t="shared" si="0"/>
        <v>1.5220106951294479</v>
      </c>
    </row>
    <row r="100" spans="2:13" s="15" customFormat="1" ht="19.95" customHeight="1">
      <c r="B100" s="41" t="s">
        <v>37</v>
      </c>
      <c r="C100" s="17">
        <f t="shared" ref="C100:L100" si="1">IF($E$33&lt;C97," ",C99/(1+$D$84)^C97)</f>
        <v>0.54744491741183177</v>
      </c>
      <c r="D100" s="17">
        <f t="shared" si="1"/>
        <v>0.53517131714294153</v>
      </c>
      <c r="E100" s="17">
        <f t="shared" si="1"/>
        <v>0.52317288841874787</v>
      </c>
      <c r="F100" s="17">
        <f t="shared" si="1"/>
        <v>0.51144346195091228</v>
      </c>
      <c r="G100" s="17">
        <f t="shared" si="1"/>
        <v>0.4999770067652472</v>
      </c>
      <c r="H100" s="17">
        <f t="shared" si="1"/>
        <v>0.48876762710074212</v>
      </c>
      <c r="I100" s="17">
        <f t="shared" si="1"/>
        <v>0.47780955937811198</v>
      </c>
      <c r="J100" s="17">
        <f t="shared" si="1"/>
        <v>0.46709716923631112</v>
      </c>
      <c r="K100" s="17">
        <f t="shared" si="1"/>
        <v>0.45662494863548697</v>
      </c>
      <c r="L100" s="17">
        <f t="shared" si="1"/>
        <v>0.44638751302488583</v>
      </c>
    </row>
    <row r="101" spans="2:13" s="15" customFormat="1" ht="19.95" customHeight="1"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2:13" s="15" customFormat="1" ht="19.95" customHeight="1">
      <c r="B102" s="19" t="s">
        <v>38</v>
      </c>
      <c r="E102" s="21"/>
      <c r="F102" s="21"/>
    </row>
    <row r="103" spans="2:13" s="18" customFormat="1" ht="19.95" customHeight="1">
      <c r="B103" s="49" t="s">
        <v>34</v>
      </c>
      <c r="C103" s="50">
        <f>IF(E64&lt;1," ",E33+1)</f>
        <v>11</v>
      </c>
      <c r="D103" s="47">
        <f>IF($E$64&lt;2," ",$E$33+2)</f>
        <v>12</v>
      </c>
      <c r="E103" s="47">
        <f>IF($E$64&lt;3," ",$E$33+3)</f>
        <v>13</v>
      </c>
      <c r="F103" s="47">
        <f>IF($E$64&lt;4," ",$E$33+4)</f>
        <v>14</v>
      </c>
      <c r="G103" s="47">
        <f>IF($E$64&lt;5," ",$E$33+5)</f>
        <v>15</v>
      </c>
      <c r="H103" s="47">
        <f>IF($E$64&lt;6," ",$E$33+6)</f>
        <v>16</v>
      </c>
      <c r="I103" s="47">
        <f>IF($E$64&lt;7," ",$E$33+7)</f>
        <v>17</v>
      </c>
      <c r="J103" s="47">
        <f>IF($E$64&lt;8," ",$E$33+8)</f>
        <v>18</v>
      </c>
      <c r="K103" s="28" t="str">
        <f>IF($E$64&lt;9," ",$E$33+9)</f>
        <v xml:space="preserve"> </v>
      </c>
      <c r="L103" s="28" t="str">
        <f>IF($E$64&lt;10," ",$E$33+10)</f>
        <v xml:space="preserve"> </v>
      </c>
    </row>
    <row r="104" spans="2:13" s="15" customFormat="1" ht="19.95" customHeight="1">
      <c r="B104" s="41" t="s">
        <v>26</v>
      </c>
      <c r="C104" s="22">
        <f>IF($E$64&lt;1,,$D$92-($D$92-$E$113)/$E$64)</f>
        <v>0.10201012364699323</v>
      </c>
      <c r="D104" s="22">
        <f>IF($E$64&lt;2,,C104-($D$92-$E$113)/$E$64)</f>
        <v>9.8865820268851337E-2</v>
      </c>
      <c r="E104" s="22">
        <f>IF($E$64&lt;3,,D104-($D$92-$E$113)/$E$64)</f>
        <v>9.5721516890709443E-2</v>
      </c>
      <c r="F104" s="22">
        <f>IF($E$64&lt;4,,E104-($D$92-$E$113)/$E$64)</f>
        <v>9.2577213512567549E-2</v>
      </c>
      <c r="G104" s="22">
        <f>IF($E$64&lt;5,,F104-($D$92-$E$113)/$E$64)</f>
        <v>8.9432910134425656E-2</v>
      </c>
      <c r="H104" s="22">
        <f>IF($E$64&lt;6,,G104-($D$92-$E$113)/$E$64)</f>
        <v>8.6288606756283762E-2</v>
      </c>
      <c r="I104" s="22">
        <f>IF($E$64&lt;7,,H104-($D$92-$E$113)/$E$64)</f>
        <v>8.3144303378141868E-2</v>
      </c>
      <c r="J104" s="22">
        <f>IF($E$64&lt;8,,I104-($D$92-$E$113)/$E$64)</f>
        <v>7.9999999999999974E-2</v>
      </c>
      <c r="K104" s="30">
        <f>IF($E$64&lt;9,,J104-($D$92-$E$113)/$E$64)</f>
        <v>0</v>
      </c>
      <c r="L104" s="30">
        <f>IF($E$64&lt;10,,K104-($D$92-$E$113)/$E$64)</f>
        <v>0</v>
      </c>
    </row>
    <row r="105" spans="2:13" s="15" customFormat="1" ht="19.95" customHeight="1">
      <c r="B105" s="41" t="s">
        <v>39</v>
      </c>
      <c r="C105" s="22">
        <f>IF($E$64&lt;(C103-$E$33)," ",(IF($G$66="Yes",$E$94+($E$114-$E$94)/$E$64,$G$67)))</f>
        <v>0.41765734265734272</v>
      </c>
      <c r="D105" s="22">
        <f>IF($E$64&lt;2," ",(IF($G$66="Yes",C105+($E$114-$E$94)/$E$64,$G$67)))</f>
        <v>0.44370629370629378</v>
      </c>
      <c r="E105" s="22">
        <f>IF($E$64&lt;3," ",(IF($G$66="Yes",D105+($E$114-$E$94)/$E$64,$G$67)))</f>
        <v>0.46975524475524483</v>
      </c>
      <c r="F105" s="22">
        <f>IF($E$64&lt;4," ",(IF($G$66="Yes",E105+($E$114-$E$94)/$E$64,$G$67)))</f>
        <v>0.49580419580419588</v>
      </c>
      <c r="G105" s="22">
        <f>IF($E$64&lt;5," ",(IF($G$66="Yes",F105+($E$114-$E$94)/$E$64,$G$67)))</f>
        <v>0.52185314685314688</v>
      </c>
      <c r="H105" s="22">
        <f>IF($E$64&lt;6," ",(IF($G$66="Yes",G105+($E$114-$E$94)/$E$64,$G$67)))</f>
        <v>0.54790209790209787</v>
      </c>
      <c r="I105" s="22">
        <f>IF($E$64&lt;7," ",(IF($G$66="Yes",H105+($E$114-$E$94)/$E$64,$G$67)))</f>
        <v>0.57395104895104887</v>
      </c>
      <c r="J105" s="22">
        <f>IF($E$64&lt;8," ",(IF($G$66="Yes",I105+($E$114-$E$94)/$E$64,$G$67)))</f>
        <v>0.59999999999999987</v>
      </c>
      <c r="K105" s="30" t="str">
        <f>IF($E$64&lt;9," ",(IF($G$66="Yes",J105+($E$114-$E$94)/$E$64,$G$67)))</f>
        <v xml:space="preserve"> </v>
      </c>
      <c r="L105" s="30" t="str">
        <f>IF($E$64&lt;10," ",(IF($G$66="Yes",K105+($E$114-$E$94)/$E$64,$G$67)))</f>
        <v xml:space="preserve"> </v>
      </c>
    </row>
    <row r="106" spans="2:13" s="15" customFormat="1" ht="19.95" customHeight="1">
      <c r="B106" s="41" t="s">
        <v>35</v>
      </c>
      <c r="C106" s="17">
        <f>IF($E$64&lt;1," ",$D$85*(1+$D$92)^$E$33*(1+$C$104))</f>
        <v>4.2830317998111767</v>
      </c>
      <c r="D106" s="17">
        <f>IF($E$64&lt;2," ",C106*(1+D104))</f>
        <v>4.7064772519370832</v>
      </c>
      <c r="E106" s="17">
        <f>IF($E$64&lt;3," ",D106*(1+E104))</f>
        <v>5.1569883937041192</v>
      </c>
      <c r="F106" s="17">
        <f>IF($E$64&lt;4," ",E106*(1+F104))</f>
        <v>5.6344080093098983</v>
      </c>
      <c r="G106" s="17">
        <f>IF($E$64&lt;5," ",F106*(1+G104))</f>
        <v>6.1383095144671982</v>
      </c>
      <c r="H106" s="17">
        <f>IF($E$64&lt;6," ",G106*(1+H104))</f>
        <v>6.6679756903094134</v>
      </c>
      <c r="I106" s="17">
        <f>IF($E$64&lt;7," ",H106*(1+I104))</f>
        <v>7.2223798840225744</v>
      </c>
      <c r="J106" s="17">
        <f>IF($E$64&lt;8," ",I106*(1+J104))</f>
        <v>7.8001702747443806</v>
      </c>
      <c r="K106" s="31" t="str">
        <f>IF($E$64&lt;9," ",J106*(1+K104))</f>
        <v xml:space="preserve"> </v>
      </c>
      <c r="L106" s="31" t="str">
        <f>IF($E$64&lt;10," ",K106*(1+L104))</f>
        <v xml:space="preserve"> </v>
      </c>
    </row>
    <row r="107" spans="2:13" s="15" customFormat="1" ht="19.95" customHeight="1">
      <c r="B107" s="41" t="s">
        <v>36</v>
      </c>
      <c r="C107" s="17">
        <f>IF($E$64&lt;1," ",C106*C105)</f>
        <v>1.788839680026032</v>
      </c>
      <c r="D107" s="17">
        <f>IF($E$64&lt;2," ",D106*D105)</f>
        <v>2.0882935778699858</v>
      </c>
      <c r="E107" s="17">
        <f>IF($E$64&lt;3," ",E106*E105)</f>
        <v>2.4225223450844355</v>
      </c>
      <c r="F107" s="17">
        <f>IF($E$64&lt;4," ",F106*F105)</f>
        <v>2.7935631318886145</v>
      </c>
      <c r="G107" s="17">
        <f>IF($E$64&lt;5," ",G106*G105)</f>
        <v>3.2032961364833197</v>
      </c>
      <c r="H107" s="17">
        <f>IF($E$64&lt;6," ",H106*H105)</f>
        <v>3.6533978694807168</v>
      </c>
      <c r="I107" s="17">
        <f>IF($E$64&lt;7," ",I106*I105)</f>
        <v>4.1452925103577112</v>
      </c>
      <c r="J107" s="17">
        <f>IF($E$64&lt;8," ",J106*J105)</f>
        <v>4.6801021648466277</v>
      </c>
      <c r="K107" s="31" t="str">
        <f>IF($E$64&lt;9," ",K106*K105)</f>
        <v xml:space="preserve"> </v>
      </c>
      <c r="L107" s="31" t="str">
        <f>IF($E$64&lt;10," ",L106*L105)</f>
        <v xml:space="preserve"> </v>
      </c>
    </row>
    <row r="108" spans="2:13" s="15" customFormat="1" ht="19.95" customHeight="1">
      <c r="B108" s="41" t="s">
        <v>40</v>
      </c>
      <c r="C108" s="23">
        <f>IF($E$64&lt;1," ",(IF($G$69="Yes",$D$28-($D$28-($E$115-$D$29)/$D$30)/$E$64,$G$70)))</f>
        <v>1.1000000000000001</v>
      </c>
      <c r="D108" s="23">
        <f>IF($E$64&lt;2," ",(IF($G$69="Yes",C108-($D$28-($E$115-$D$29)/$D$30)/$E$64,$G$70)))</f>
        <v>1.1000000000000001</v>
      </c>
      <c r="E108" s="23">
        <f>IF($E$64&lt;3," ",(IF($G$69="Yes",D108-($D$28-($E$115-$D$29)/$D$30)/$E$64,$G$70)))</f>
        <v>1.1000000000000001</v>
      </c>
      <c r="F108" s="23">
        <f>IF($E$64&lt;4," ",(IF($G$69="Yes",E108-($D$28-($E$115-$D$29)/$D$30)/$E$64,$G$70)))</f>
        <v>1.1000000000000001</v>
      </c>
      <c r="G108" s="23">
        <f>IF($E$64&lt;5," ",(IF($G$69="Yes",F108-($D$28-($E$115-$D$29)/$D$30)/$E$64,$G$70)))</f>
        <v>1.1000000000000001</v>
      </c>
      <c r="H108" s="23">
        <f>IF($E$64&lt;6," ",(IF($G$69="Yes",G108-($D$28-($E$115-$D$29)/$D$30)/$E$64,$G$70)))</f>
        <v>1.1000000000000001</v>
      </c>
      <c r="I108" s="23">
        <f>IF($E$64&lt;7," ",(IF($G$69="Yes",H108-($D$28-($E$115-$D$29)/$D$30)/$E$64,$G$70)))</f>
        <v>1.1000000000000001</v>
      </c>
      <c r="J108" s="23">
        <f>IF($E$64&lt;8," ",(IF($G$69="Yes",I108-($D$28-($E$115-$D$29)/$D$30)/$E$64,$G$70)))</f>
        <v>1.1000000000000001</v>
      </c>
      <c r="K108" s="21" t="str">
        <f>IF($E$64&lt;9," ",(IF($G$69="Yes",J108-($D$28-($E$115-$D$29)/$D$30)/$E$64,$G$70)))</f>
        <v xml:space="preserve"> </v>
      </c>
      <c r="L108" s="21" t="str">
        <f>IF($E$64&lt;10," ",(IF($G$69="Yes",K108-($D$28-($E$115-$D$29)/$D$30)/$E$64,$G$70)))</f>
        <v xml:space="preserve"> </v>
      </c>
    </row>
    <row r="109" spans="2:13" s="15" customFormat="1" ht="19.95" customHeight="1">
      <c r="B109" s="41" t="s">
        <v>41</v>
      </c>
      <c r="C109" s="22">
        <f>IF($E$64&lt;1,0,$D$29+$D$30*C108)</f>
        <v>0.1305</v>
      </c>
      <c r="D109" s="22">
        <f>IF($E$64&lt;2,0,$D$29+$D$30*D108)</f>
        <v>0.1305</v>
      </c>
      <c r="E109" s="22">
        <f>IF($E$64&lt;3,0,$D$29+$D$30*E108)</f>
        <v>0.1305</v>
      </c>
      <c r="F109" s="22">
        <f>IF($E$64&lt;4,0,$D$29+$D$30*F108)</f>
        <v>0.1305</v>
      </c>
      <c r="G109" s="22">
        <f>IF($E$64&lt;5,0,$D$29+$D$30*G108)</f>
        <v>0.1305</v>
      </c>
      <c r="H109" s="22">
        <f>IF($E$64&lt;6,0,$D$29+$D$30*H108)</f>
        <v>0.1305</v>
      </c>
      <c r="I109" s="22">
        <f>IF($E$64&lt;7,0,$D$29+$D$30*I108)</f>
        <v>0.1305</v>
      </c>
      <c r="J109" s="22">
        <f>IF($E$64&lt;8,0,$D$29+$D$30*J108)</f>
        <v>0.1305</v>
      </c>
      <c r="K109" s="30">
        <f>IF($E$64&lt;9,0,$D$29+$D$30*K108)</f>
        <v>0</v>
      </c>
      <c r="L109" s="30">
        <f>IF($E$64&lt;10,0,$D$29+$D$30*L108)</f>
        <v>0</v>
      </c>
    </row>
    <row r="110" spans="2:13" s="15" customFormat="1" ht="19.95" customHeight="1">
      <c r="B110" s="41" t="s">
        <v>37</v>
      </c>
      <c r="C110" s="17">
        <f>IF($E$64&lt;1," ",C107/(((1+$D$84)^$E$33)*(1+C109)))</f>
        <v>0.46408249394729539</v>
      </c>
      <c r="D110" s="17">
        <f>IF($E$64&lt;2," ",D107/(((1+$D$84)^$E$33)*(1+C109)*(1+D109)))</f>
        <v>0.47923083363770036</v>
      </c>
      <c r="E110" s="17">
        <f>IF($E$64&lt;3," ",E107/(((1+$D$84)^$E$33)*(1+C109)*(1+D109)*(1+E109)))</f>
        <v>0.49175685743455599</v>
      </c>
      <c r="F110" s="17">
        <f>IF($E$64&lt;4," ",F107/(((1+$D$84)^$E$33)*(1+C109)*(1+D109)*(1+E109)*(1+F109)))</f>
        <v>0.50161504852120198</v>
      </c>
      <c r="G110" s="17">
        <f>IF($E$64&lt;5," ",G107/(((1+$D$84)^$E$33)*(1+C109)*(1+D109)*(1+E109)*(1+F109)*(1+G109)))</f>
        <v>0.50879002672465323</v>
      </c>
      <c r="H110" s="17">
        <f>IF($E$64&lt;6," ",H107/(((1+$D$84)^$E$33)*(1+C109)*(1+D109)*(1+E109)*(1+F109)*(1+G109)*(1+H109)))</f>
        <v>0.51329602878843106</v>
      </c>
      <c r="I110" s="17">
        <f>IF($E$64&lt;7," ",I107/(((1+$D$84)^$E$33)*(1+C109)*(1+D109)*(1+E109)*(1+F109)*(1+G109)*(1+H109)*(1+I109)))</f>
        <v>0.51517591147331021</v>
      </c>
      <c r="J110" s="17">
        <f>IF($E$64&lt;8," ",J107/(((1+$D$84)^$E$33)*(1+C109)*(1+D109)*(1+E109)*(1+F109)*(1+G109)*(1+H109)*(1+I109)*(1+J109)))</f>
        <v>0.5144997089210761</v>
      </c>
      <c r="K110" s="31" t="str">
        <f>IF($E$64&lt;9," ",K107/(((1+$D$84)^$E$33)*(1+C109)*(1+D109)*(1+E109)*(1+F109)*(1+G109)*(1+H109)*(1+I109)*(1+J109)*(1+K109)))</f>
        <v xml:space="preserve"> </v>
      </c>
      <c r="L110" s="31" t="str">
        <f>IF($E$64&lt;10," ",L107/(((1+$D$84)^$E$33)*(1+C109)*(1+D109)*(1+E109)*(1+F109)*(1+G109)*(1+H109)*(1+I109)*(1+J109)*(1+K109)*(1+L109)))</f>
        <v xml:space="preserve"> </v>
      </c>
    </row>
    <row r="111" spans="2:13" s="15" customFormat="1" ht="19.95" customHeight="1"/>
    <row r="112" spans="2:13" s="15" customFormat="1" ht="19.95" customHeight="1">
      <c r="B112" s="19" t="s">
        <v>42</v>
      </c>
    </row>
    <row r="113" spans="2:7" s="15" customFormat="1" ht="19.95" customHeight="1">
      <c r="B113" s="15" t="s">
        <v>43</v>
      </c>
      <c r="E113" s="22">
        <f>E73</f>
        <v>0.08</v>
      </c>
      <c r="F113" s="21"/>
    </row>
    <row r="114" spans="2:7" s="15" customFormat="1" ht="19.95" customHeight="1">
      <c r="B114" s="15" t="s">
        <v>44</v>
      </c>
      <c r="E114" s="22">
        <f>IF(E76="No",E75,E77)</f>
        <v>0.60000000000000009</v>
      </c>
      <c r="F114" s="21"/>
    </row>
    <row r="115" spans="2:7" s="15" customFormat="1" ht="19.95" customHeight="1">
      <c r="B115" s="15" t="s">
        <v>45</v>
      </c>
      <c r="E115" s="22">
        <f>IF(E79="No",D29+D28*D30,D29+E80*D30)</f>
        <v>0.1305</v>
      </c>
      <c r="F115" s="21"/>
    </row>
    <row r="116" spans="2:7" s="15" customFormat="1" ht="19.95" customHeight="1">
      <c r="B116" s="15" t="s">
        <v>46</v>
      </c>
      <c r="E116" s="17">
        <f>D85*(1+D92)^E33*(1+C104)*(1+D104)*(1+E104)*(1+F104)*(1+G104)*(1+H104)*(1+I104)*(1+J104)*(1+K104)*(1+L104)*(1+E113)*E114/(E115-E113)</f>
        <v>100.08931362444277</v>
      </c>
      <c r="F116" s="21"/>
    </row>
    <row r="117" spans="2:7" s="15" customFormat="1" ht="19.95" customHeight="1">
      <c r="E117" s="21"/>
      <c r="F117" s="21"/>
    </row>
    <row r="118" spans="2:7" s="15" customFormat="1" ht="19.95" customHeight="1">
      <c r="B118" s="19" t="s">
        <v>47</v>
      </c>
      <c r="C118" s="19"/>
      <c r="D118" s="19"/>
      <c r="E118" s="32"/>
      <c r="F118" s="33">
        <f>SUM(C100:L100)</f>
        <v>4.9538964090652193</v>
      </c>
    </row>
    <row r="119" spans="2:7" s="15" customFormat="1" ht="19.95" customHeight="1">
      <c r="B119" s="19" t="s">
        <v>48</v>
      </c>
      <c r="C119" s="19"/>
      <c r="D119" s="19"/>
      <c r="E119" s="32"/>
      <c r="F119" s="33">
        <f>SUM(C110:L110)</f>
        <v>3.988446909448224</v>
      </c>
    </row>
    <row r="120" spans="2:7" s="15" customFormat="1" ht="19.95" customHeight="1">
      <c r="B120" s="19" t="s">
        <v>49</v>
      </c>
      <c r="C120" s="19"/>
      <c r="D120" s="19"/>
      <c r="E120" s="32"/>
      <c r="F120" s="33">
        <f>E116/((1+D84)^E33*(1+C109)*(1+D109)*(1+E109)*(1+F109)*(1+G109)*(1+H109)*(1+I109)*(1+J109)*(1+K109)*(1+L109))</f>
        <v>11.003162091777472</v>
      </c>
    </row>
    <row r="121" spans="2:7" s="15" customFormat="1" ht="19.95" customHeight="1">
      <c r="B121" s="19" t="s">
        <v>50</v>
      </c>
      <c r="C121" s="19"/>
      <c r="D121" s="19"/>
      <c r="E121" s="32"/>
      <c r="F121" s="33">
        <f>SUM(F118:F120)</f>
        <v>19.945505410290917</v>
      </c>
    </row>
    <row r="122" spans="2:7" ht="19.95" customHeight="1">
      <c r="B122" s="4"/>
      <c r="C122" s="4"/>
      <c r="D122" s="4"/>
      <c r="E122" s="5"/>
      <c r="F122" s="5"/>
      <c r="G122" s="4"/>
    </row>
  </sheetData>
  <printOptions gridLinesSet="0"/>
  <pageMargins left="0.75" right="0.75" top="1" bottom="1" header="0.5" footer="0.5"/>
  <pageSetup orientation="portrait" horizontalDpi="0" verticalDpi="0" copies="0"/>
  <headerFooter alignWithMargins="0">
    <oddHeader>&amp;C Three-Stage Dividend Discount Model</oddHeader>
    <oddFooter>Page &amp;p</oddFooter>
  </headerFooter>
  <rowBreaks count="5" manualBreakCount="5">
    <brk id="20" max="65535" man="1"/>
    <brk id="59" max="65535" man="1"/>
    <brk id="84" max="65535" man="1"/>
    <brk id="95" max="65535" man="1"/>
    <brk id="13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ddm3st.xls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Iweze</cp:lastModifiedBy>
  <dcterms:created xsi:type="dcterms:W3CDTF">2023-12-23T16:40:20Z</dcterms:created>
  <dcterms:modified xsi:type="dcterms:W3CDTF">2023-12-23T16:40:23Z</dcterms:modified>
</cp:coreProperties>
</file>