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ate1904="1"/>
  <mc:AlternateContent xmlns:mc="http://schemas.openxmlformats.org/markup-compatibility/2006">
    <mc:Choice Requires="x15">
      <x15ac:absPath xmlns:x15ac="http://schemas.microsoft.com/office/spreadsheetml/2010/11/ac" url="C:\Users\Dennis Iweze\Downloads\"/>
    </mc:Choice>
  </mc:AlternateContent>
  <xr:revisionPtr revIDLastSave="0" documentId="8_{DBBB1D49-63FE-466C-8F03-17CDB1B11CD0}" xr6:coauthVersionLast="47" xr6:coauthVersionMax="47" xr10:uidLastSave="{00000000-0000-0000-0000-000000000000}"/>
  <bookViews>
    <workbookView xWindow="-108" yWindow="-108" windowWidth="23256" windowHeight="12456"/>
  </bookViews>
  <sheets>
    <sheet name="Sheet1" sheetId="1" r:id="rId1"/>
  </sheets>
  <definedNames>
    <definedName name="HTML1_1" hidden="1">"[FCFF3]Sheet1!$A$1:$L$34"</definedName>
    <definedName name="HTML1_10" hidden="1">""</definedName>
    <definedName name="HTML1_11" hidden="1">1</definedName>
    <definedName name="HTML1_12" hidden="1">"Aswath:Adobe SiteMill™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L40" i="1"/>
  <c r="G40" i="1"/>
  <c r="H40" i="1"/>
  <c r="I40" i="1"/>
  <c r="K40" i="1"/>
  <c r="C67" i="1"/>
  <c r="C64" i="1"/>
  <c r="B42" i="1"/>
  <c r="B38" i="1"/>
  <c r="B40" i="1" s="1"/>
  <c r="B46" i="1"/>
  <c r="B47" i="1"/>
  <c r="L52" i="1"/>
  <c r="B43" i="1"/>
  <c r="C43" i="1" s="1"/>
  <c r="D43" i="1" s="1"/>
  <c r="E43" i="1" s="1"/>
  <c r="F43" i="1" s="1"/>
  <c r="G43" i="1" s="1"/>
  <c r="H43" i="1" s="1"/>
  <c r="I43" i="1" s="1"/>
  <c r="J43" i="1" s="1"/>
  <c r="K43" i="1" s="1"/>
  <c r="L43" i="1" s="1"/>
  <c r="L55" i="1"/>
  <c r="K52" i="1"/>
  <c r="K55" i="1"/>
  <c r="J52" i="1"/>
  <c r="J55" i="1"/>
  <c r="I52" i="1"/>
  <c r="I55" i="1"/>
  <c r="H52" i="1"/>
  <c r="H55" i="1"/>
  <c r="C38" i="1"/>
  <c r="E18" i="1"/>
  <c r="C37" i="1"/>
  <c r="C46" i="1"/>
  <c r="D46" i="1" s="1"/>
  <c r="E46" i="1" s="1"/>
  <c r="F46" i="1" s="1"/>
  <c r="G46" i="1" s="1"/>
  <c r="H46" i="1" s="1"/>
  <c r="I46" i="1" s="1"/>
  <c r="J46" i="1" s="1"/>
  <c r="K46" i="1" s="1"/>
  <c r="L46" i="1" s="1"/>
  <c r="C47" i="1"/>
  <c r="D47" i="1" s="1"/>
  <c r="E47" i="1" s="1"/>
  <c r="F47" i="1" s="1"/>
  <c r="G47" i="1" s="1"/>
  <c r="C48" i="1"/>
  <c r="C53" i="1"/>
  <c r="C57" i="1" s="1"/>
  <c r="C58" i="1" s="1"/>
  <c r="C54" i="1"/>
  <c r="C55" i="1"/>
  <c r="C56" i="1"/>
  <c r="D37" i="1"/>
  <c r="D53" i="1"/>
  <c r="D57" i="1" s="1"/>
  <c r="D54" i="1"/>
  <c r="D55" i="1"/>
  <c r="D56" i="1"/>
  <c r="E37" i="1"/>
  <c r="E53" i="1"/>
  <c r="E57" i="1" s="1"/>
  <c r="E54" i="1"/>
  <c r="E55" i="1"/>
  <c r="E56" i="1"/>
  <c r="F37" i="1"/>
  <c r="F53" i="1"/>
  <c r="F57" i="1" s="1"/>
  <c r="F54" i="1"/>
  <c r="F55" i="1"/>
  <c r="F56" i="1"/>
  <c r="G36" i="1"/>
  <c r="G37" i="1"/>
  <c r="G53" i="1"/>
  <c r="G54" i="1"/>
  <c r="G55" i="1"/>
  <c r="G56" i="1"/>
  <c r="G57" i="1"/>
  <c r="H36" i="1"/>
  <c r="H37" i="1"/>
  <c r="I37" i="1"/>
  <c r="J37" i="1"/>
  <c r="K37" i="1"/>
  <c r="L37" i="1"/>
  <c r="L53" i="1"/>
  <c r="J53" i="1" s="1"/>
  <c r="H53" i="1"/>
  <c r="L54" i="1"/>
  <c r="K54" i="1" s="1"/>
  <c r="K56" i="1" s="1"/>
  <c r="H54" i="1"/>
  <c r="H56" i="1" s="1"/>
  <c r="I36" i="1"/>
  <c r="J36" i="1"/>
  <c r="K36" i="1"/>
  <c r="L36" i="1"/>
  <c r="L56" i="1"/>
  <c r="L57" i="1"/>
  <c r="C65" i="1"/>
  <c r="B48" i="1"/>
  <c r="C36" i="1"/>
  <c r="D36" i="1"/>
  <c r="E36" i="1"/>
  <c r="F36" i="1"/>
  <c r="G52" i="1"/>
  <c r="F52" i="1"/>
  <c r="E52" i="1"/>
  <c r="D52" i="1"/>
  <c r="C52" i="1"/>
  <c r="F26" i="1"/>
  <c r="B45" i="1"/>
  <c r="B49" i="1"/>
  <c r="F40" i="1" l="1"/>
  <c r="B41" i="1"/>
  <c r="C40" i="1"/>
  <c r="C41" i="1" s="1"/>
  <c r="E40" i="1"/>
  <c r="D40" i="1"/>
  <c r="D58" i="1"/>
  <c r="J57" i="1"/>
  <c r="C42" i="1"/>
  <c r="C45" i="1" s="1"/>
  <c r="C49" i="1" s="1"/>
  <c r="C60" i="1" s="1"/>
  <c r="H57" i="1"/>
  <c r="I54" i="1"/>
  <c r="I56" i="1" s="1"/>
  <c r="I53" i="1"/>
  <c r="I57" i="1" s="1"/>
  <c r="J54" i="1"/>
  <c r="J56" i="1" s="1"/>
  <c r="D38" i="1"/>
  <c r="J40" i="1"/>
  <c r="K53" i="1"/>
  <c r="K57" i="1" s="1"/>
  <c r="D42" i="1" l="1"/>
  <c r="D45" i="1" s="1"/>
  <c r="D49" i="1" s="1"/>
  <c r="D60" i="1" s="1"/>
  <c r="E38" i="1"/>
  <c r="D48" i="1"/>
  <c r="E58" i="1"/>
  <c r="D41" i="1"/>
  <c r="E41" i="1"/>
  <c r="F58" i="1" l="1"/>
  <c r="E48" i="1"/>
  <c r="E42" i="1"/>
  <c r="E45" i="1" s="1"/>
  <c r="F38" i="1"/>
  <c r="F48" i="1" l="1"/>
  <c r="G38" i="1"/>
  <c r="F41" i="1"/>
  <c r="F42" i="1" s="1"/>
  <c r="F45" i="1" s="1"/>
  <c r="F49" i="1" s="1"/>
  <c r="F60" i="1" s="1"/>
  <c r="E49" i="1"/>
  <c r="E60" i="1" s="1"/>
  <c r="G58" i="1"/>
  <c r="H58" i="1" l="1"/>
  <c r="G41" i="1"/>
  <c r="G42" i="1" s="1"/>
  <c r="G45" i="1" s="1"/>
  <c r="G49" i="1" s="1"/>
  <c r="G60" i="1" s="1"/>
  <c r="H38" i="1"/>
  <c r="G48" i="1"/>
  <c r="I38" i="1" l="1"/>
  <c r="H41" i="1"/>
  <c r="H42" i="1" s="1"/>
  <c r="H45" i="1" s="1"/>
  <c r="H48" i="1"/>
  <c r="I58" i="1"/>
  <c r="J38" i="1" l="1"/>
  <c r="I41" i="1"/>
  <c r="I48" i="1"/>
  <c r="I42" i="1"/>
  <c r="I45" i="1" s="1"/>
  <c r="J58" i="1"/>
  <c r="J48" i="1" l="1"/>
  <c r="K38" i="1"/>
  <c r="J41" i="1"/>
  <c r="J42" i="1" s="1"/>
  <c r="J45" i="1" s="1"/>
  <c r="K58" i="1"/>
  <c r="K48" i="1" l="1"/>
  <c r="L38" i="1"/>
  <c r="K41" i="1"/>
  <c r="K42" i="1" s="1"/>
  <c r="K45" i="1" s="1"/>
  <c r="L58" i="1"/>
  <c r="L48" i="1" l="1"/>
  <c r="L41" i="1"/>
  <c r="L42" i="1" s="1"/>
  <c r="L45" i="1" s="1"/>
  <c r="L47" i="1" l="1"/>
  <c r="L49" i="1" s="1"/>
  <c r="L50" i="1" l="1"/>
  <c r="L60" i="1" s="1"/>
  <c r="K47" i="1"/>
  <c r="K49" i="1" s="1"/>
  <c r="K60" i="1" s="1"/>
  <c r="H47" i="1"/>
  <c r="H49" i="1" s="1"/>
  <c r="H60" i="1" s="1"/>
  <c r="J47" i="1"/>
  <c r="J49" i="1" s="1"/>
  <c r="J60" i="1" s="1"/>
  <c r="I47" i="1"/>
  <c r="I49" i="1" s="1"/>
  <c r="I60" i="1" s="1"/>
  <c r="D72" i="1" l="1"/>
  <c r="D73" i="1" s="1"/>
  <c r="C63" i="1"/>
  <c r="L72" i="1"/>
  <c r="L73" i="1" s="1"/>
  <c r="H72" i="1"/>
  <c r="H73" i="1" s="1"/>
  <c r="G72" i="1"/>
  <c r="G73" i="1" s="1"/>
  <c r="E72" i="1"/>
  <c r="E73" i="1" s="1"/>
  <c r="F72" i="1"/>
  <c r="F73" i="1" s="1"/>
  <c r="K72" i="1"/>
  <c r="K73" i="1" s="1"/>
  <c r="J72" i="1"/>
  <c r="J73" i="1" s="1"/>
  <c r="I72" i="1"/>
  <c r="I73" i="1" s="1"/>
  <c r="C72" i="1" l="1"/>
  <c r="C73" i="1" s="1"/>
  <c r="C66" i="1"/>
  <c r="C68" i="1" s="1"/>
</calcChain>
</file>

<file path=xl/comments1.xml><?xml version="1.0" encoding="utf-8"?>
<comments xmlns="http://schemas.openxmlformats.org/spreadsheetml/2006/main">
  <authors>
    <author>Aswath Damodaran</author>
  </authors>
  <commentList>
    <comment ref="E28" authorId="0" shapeId="0">
      <text>
        <r>
          <rPr>
            <b/>
            <sz val="9"/>
            <color indexed="81"/>
            <rFont val="Geneva"/>
          </rPr>
          <t>Dennis Iweze:</t>
        </r>
        <r>
          <rPr>
            <sz val="9"/>
            <color indexed="81"/>
            <rFont val="Geneva"/>
          </rPr>
          <t xml:space="preserve">
Yes or no. If yes, enter the return on capital that the firm will have in stable growth. If no, enter the cap ex as a percent of depreciation.</t>
        </r>
      </text>
    </comment>
    <comment ref="E30" authorId="0" shapeId="0">
      <text>
        <r>
          <rPr>
            <b/>
            <sz val="9"/>
            <color indexed="81"/>
            <rFont val="Geneva"/>
          </rPr>
          <t>Dennis Iweze:</t>
        </r>
        <r>
          <rPr>
            <sz val="9"/>
            <color indexed="81"/>
            <rFont val="Geneva"/>
          </rPr>
          <t xml:space="preserve">
If you want the firm to grow in perpetuity, this number should be greater than 100%.</t>
        </r>
      </text>
    </comment>
  </commentList>
</comments>
</file>

<file path=xl/sharedStrings.xml><?xml version="1.0" encoding="utf-8"?>
<sst xmlns="http://schemas.openxmlformats.org/spreadsheetml/2006/main" count="68" uniqueCount="67">
  <si>
    <t>Cash and Marketable Securities at the firm =</t>
  </si>
  <si>
    <t>Value of equity options issued by the firm =</t>
  </si>
  <si>
    <t>Do you want to compute reinvestment from fundamentals?</t>
  </si>
  <si>
    <t>Yes</t>
  </si>
  <si>
    <t>Return on capital in perpetuity for the firm =</t>
  </si>
  <si>
    <t xml:space="preserve"> + Cash and marketable securities =</t>
  </si>
  <si>
    <t xml:space="preserve"> - Value of Equity options issued by firm </t>
  </si>
  <si>
    <t>Enter the pre-tax operating margin you expect your firm to have in year 5 =</t>
  </si>
  <si>
    <t>Enter the pre-tax operating margin in perpetuity =</t>
  </si>
  <si>
    <t>Your current pre-tax operating margin is</t>
  </si>
  <si>
    <t>INPUTS FOR VALUATION</t>
  </si>
  <si>
    <t>Current Inputs</t>
  </si>
  <si>
    <t>Enter the current revenues of the firm =</t>
  </si>
  <si>
    <t>Enter the current capital expenditures =</t>
  </si>
  <si>
    <t>Enter the current dollar depreciation for the firm =</t>
  </si>
  <si>
    <t>Enter the change in Working Capital in last year =</t>
  </si>
  <si>
    <t>Enter the value of current debt outstanding =</t>
  </si>
  <si>
    <t>Enter the number of shares outstanding =</t>
  </si>
  <si>
    <t>High Growth Period</t>
  </si>
  <si>
    <t>Your Inputs</t>
  </si>
  <si>
    <t>Enter the growth rate in revenues for the next 5 years =</t>
  </si>
  <si>
    <t>How much debt do you plan to use in financing investments?</t>
  </si>
  <si>
    <t>Enter the growth rate in capital expenditures &amp; depreciation</t>
  </si>
  <si>
    <t>Enter working capital as a percent of revenues</t>
  </si>
  <si>
    <t>Enter the tax rate that you have on corporate income</t>
  </si>
  <si>
    <t>What beta do you want to use to calculate cost of equity =</t>
  </si>
  <si>
    <t>Enter the current long term bond rate =</t>
  </si>
  <si>
    <t>Enter the market risk premium you want to use =</t>
  </si>
  <si>
    <t>Enter your cost of borrowing money =</t>
  </si>
  <si>
    <t>Stable Period</t>
  </si>
  <si>
    <t>Enter the growth rate in revenues =</t>
  </si>
  <si>
    <t>Enter capital expenditures as a percent of depreciation in this period</t>
  </si>
  <si>
    <t>Enter interest rate of debt in stable period =</t>
  </si>
  <si>
    <t>What beta do you want to use in the stable period =</t>
  </si>
  <si>
    <t xml:space="preserve">ESTIMATED CASHFLOWS </t>
  </si>
  <si>
    <t>Base</t>
  </si>
  <si>
    <t>Growth in Revenue</t>
  </si>
  <si>
    <t>Growth in Deprec'n</t>
  </si>
  <si>
    <t>Revenues</t>
  </si>
  <si>
    <t>COGS</t>
  </si>
  <si>
    <t>% of Revenues</t>
  </si>
  <si>
    <t xml:space="preserve"> - $ COGS</t>
  </si>
  <si>
    <t>EBIT</t>
  </si>
  <si>
    <t>Tax Rate</t>
  </si>
  <si>
    <t>EBIT (1-t)</t>
  </si>
  <si>
    <t xml:space="preserve"> + Depreciation</t>
  </si>
  <si>
    <t xml:space="preserve"> - Capital Expenditures</t>
  </si>
  <si>
    <t xml:space="preserve"> - Change in  WC</t>
  </si>
  <si>
    <t xml:space="preserve"> = FCFF</t>
  </si>
  <si>
    <t>Terminal Value (in '05)</t>
  </si>
  <si>
    <t>COSTS OF EQUITY AND CAPITAL</t>
  </si>
  <si>
    <t>Cost of Equity</t>
  </si>
  <si>
    <t>Proportion of Equity</t>
  </si>
  <si>
    <t>After-tax Cost of Debt</t>
  </si>
  <si>
    <t>Proportion of Debt</t>
  </si>
  <si>
    <t>Cost of Capital</t>
  </si>
  <si>
    <t>Cumulative WACC</t>
  </si>
  <si>
    <t>Present Value</t>
  </si>
  <si>
    <t>FIRM VALUATION</t>
  </si>
  <si>
    <t>Value of Firm</t>
  </si>
  <si>
    <t xml:space="preserve"> - Value of Debt</t>
  </si>
  <si>
    <t>Value of Equity</t>
  </si>
  <si>
    <t>Value of Equity per Share</t>
  </si>
  <si>
    <t>Value of firm by year</t>
  </si>
  <si>
    <t>$ Value of Debt</t>
  </si>
  <si>
    <t>(Operating Expenses include depreciation: This is equal to (1-EBIT/Sales))</t>
  </si>
  <si>
    <t>Enterr the current operating income of the firm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</si>
</sst>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0" formatCode="_(&quot;$&quot;* #,##0.00_);_(&quot;$&quot;* \(#,##0.00\);_(&quot;$&quot;* &quot;-&quot;??_);_(@_)"/>
    <numFmt numFmtId="171" formatCode="_(* #,##0.00_);_(* \(#,##0.00\);_(* &quot;-&quot;??_);_(@_)"/>
    <numFmt numFmtId="180" formatCode="_(&quot;$&quot;* #,##0_);_(&quot;$&quot;* \(#,##0\);_(&quot;$&quot;* &quot;-&quot;??_);_(@_)"/>
  </numFmts>
  <fonts count="13">
    <font>
      <sz val="10"/>
      <name val="Geneva"/>
    </font>
    <font>
      <b/>
      <sz val="10"/>
      <name val="Geneva"/>
    </font>
    <font>
      <i/>
      <sz val="10"/>
      <name val="Geneva"/>
    </font>
    <font>
      <sz val="10"/>
      <name val="Geneva"/>
    </font>
    <font>
      <sz val="12"/>
      <name val="Times"/>
    </font>
    <font>
      <b/>
      <sz val="14"/>
      <name val="Geneva"/>
    </font>
    <font>
      <b/>
      <sz val="14"/>
      <name val="Times"/>
    </font>
    <font>
      <b/>
      <sz val="10"/>
      <name val="Times"/>
    </font>
    <font>
      <sz val="10"/>
      <name val="Times"/>
    </font>
    <font>
      <i/>
      <sz val="10"/>
      <name val="Times"/>
    </font>
    <font>
      <sz val="10"/>
      <name val="Geneva"/>
    </font>
    <font>
      <sz val="9"/>
      <color indexed="81"/>
      <name val="Geneva"/>
    </font>
    <font>
      <b/>
      <sz val="9"/>
      <color indexed="81"/>
      <name val="Geneva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71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Continuous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80" fontId="8" fillId="0" borderId="0" xfId="2" applyNumberFormat="1" applyFont="1" applyBorder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1" xfId="0" applyFont="1" applyBorder="1"/>
    <xf numFmtId="0" fontId="10" fillId="0" borderId="0" xfId="0" applyFont="1"/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/>
    <xf numFmtId="10" fontId="8" fillId="0" borderId="1" xfId="3" applyNumberFormat="1" applyFont="1" applyBorder="1"/>
    <xf numFmtId="0" fontId="8" fillId="0" borderId="0" xfId="0" applyFont="1" applyBorder="1"/>
    <xf numFmtId="10" fontId="8" fillId="0" borderId="1" xfId="0" applyNumberFormat="1" applyFont="1" applyBorder="1"/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0" xfId="0" applyFont="1" applyBorder="1" applyAlignment="1">
      <alignment horizontal="right"/>
    </xf>
    <xf numFmtId="10" fontId="8" fillId="0" borderId="0" xfId="0" applyNumberFormat="1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180" fontId="8" fillId="0" borderId="1" xfId="2" applyNumberFormat="1" applyFont="1" applyBorder="1"/>
    <xf numFmtId="180" fontId="10" fillId="0" borderId="0" xfId="2" applyNumberFormat="1" applyFont="1"/>
    <xf numFmtId="0" fontId="7" fillId="0" borderId="1" xfId="0" applyFont="1" applyBorder="1"/>
    <xf numFmtId="0" fontId="8" fillId="0" borderId="8" xfId="0" applyFont="1" applyBorder="1"/>
    <xf numFmtId="180" fontId="8" fillId="0" borderId="9" xfId="2" applyNumberFormat="1" applyFont="1" applyBorder="1"/>
    <xf numFmtId="0" fontId="10" fillId="0" borderId="10" xfId="0" applyFont="1" applyBorder="1"/>
    <xf numFmtId="0" fontId="8" fillId="0" borderId="9" xfId="0" applyFont="1" applyBorder="1"/>
    <xf numFmtId="0" fontId="7" fillId="0" borderId="0" xfId="0" applyFont="1" applyBorder="1" applyAlignment="1">
      <alignment horizontal="centerContinuous"/>
    </xf>
    <xf numFmtId="180" fontId="7" fillId="0" borderId="0" xfId="2" applyNumberFormat="1" applyFont="1" applyBorder="1" applyAlignment="1">
      <alignment horizontal="centerContinuous"/>
    </xf>
    <xf numFmtId="0" fontId="1" fillId="0" borderId="0" xfId="0" applyFont="1" applyBorder="1"/>
    <xf numFmtId="10" fontId="10" fillId="0" borderId="0" xfId="3" applyNumberFormat="1" applyFont="1"/>
    <xf numFmtId="10" fontId="8" fillId="0" borderId="0" xfId="3" applyNumberFormat="1" applyFont="1" applyBorder="1"/>
    <xf numFmtId="0" fontId="10" fillId="0" borderId="0" xfId="0" applyFont="1" applyBorder="1"/>
    <xf numFmtId="0" fontId="8" fillId="0" borderId="11" xfId="0" applyFont="1" applyBorder="1"/>
    <xf numFmtId="180" fontId="8" fillId="0" borderId="11" xfId="2" applyNumberFormat="1" applyFont="1" applyBorder="1"/>
    <xf numFmtId="0" fontId="10" fillId="0" borderId="11" xfId="0" applyFont="1" applyBorder="1"/>
    <xf numFmtId="0" fontId="8" fillId="0" borderId="0" xfId="0" applyFont="1" applyAlignment="1">
      <alignment horizontal="centerContinuous"/>
    </xf>
    <xf numFmtId="180" fontId="7" fillId="0" borderId="1" xfId="2" applyNumberFormat="1" applyFont="1" applyBorder="1"/>
    <xf numFmtId="0" fontId="8" fillId="0" borderId="12" xfId="0" applyFont="1" applyBorder="1"/>
    <xf numFmtId="0" fontId="8" fillId="0" borderId="13" xfId="0" applyFont="1" applyBorder="1"/>
    <xf numFmtId="180" fontId="7" fillId="0" borderId="14" xfId="2" applyNumberFormat="1" applyFont="1" applyBorder="1"/>
    <xf numFmtId="180" fontId="7" fillId="0" borderId="15" xfId="2" applyNumberFormat="1" applyFont="1" applyBorder="1"/>
    <xf numFmtId="0" fontId="8" fillId="0" borderId="16" xfId="0" applyFont="1" applyBorder="1"/>
    <xf numFmtId="170" fontId="7" fillId="0" borderId="17" xfId="2" applyNumberFormat="1" applyFont="1" applyBorder="1"/>
    <xf numFmtId="180" fontId="7" fillId="0" borderId="0" xfId="2" applyNumberFormat="1" applyFont="1" applyBorder="1"/>
    <xf numFmtId="0" fontId="10" fillId="0" borderId="1" xfId="0" applyFont="1" applyBorder="1"/>
    <xf numFmtId="170" fontId="8" fillId="0" borderId="1" xfId="2" applyFont="1" applyBorder="1"/>
    <xf numFmtId="180" fontId="8" fillId="2" borderId="1" xfId="2" applyNumberFormat="1" applyFont="1" applyFill="1" applyBorder="1" applyAlignment="1">
      <alignment horizontal="center"/>
    </xf>
    <xf numFmtId="180" fontId="8" fillId="2" borderId="1" xfId="2" applyNumberFormat="1" applyFont="1" applyFill="1" applyBorder="1" applyAlignment="1">
      <alignment horizontal="right"/>
    </xf>
    <xf numFmtId="180" fontId="8" fillId="2" borderId="1" xfId="2" applyNumberFormat="1" applyFont="1" applyFill="1" applyBorder="1" applyAlignment="1">
      <alignment horizontal="left"/>
    </xf>
    <xf numFmtId="171" fontId="8" fillId="2" borderId="1" xfId="1" applyNumberFormat="1" applyFont="1" applyFill="1" applyBorder="1" applyAlignment="1">
      <alignment horizontal="left"/>
    </xf>
    <xf numFmtId="10" fontId="8" fillId="2" borderId="1" xfId="3" applyNumberFormat="1" applyFont="1" applyFill="1" applyBorder="1"/>
    <xf numFmtId="10" fontId="8" fillId="2" borderId="1" xfId="0" applyNumberFormat="1" applyFont="1" applyFill="1" applyBorder="1"/>
    <xf numFmtId="9" fontId="8" fillId="2" borderId="1" xfId="0" applyNumberFormat="1" applyFont="1" applyFill="1" applyBorder="1"/>
    <xf numFmtId="10" fontId="8" fillId="2" borderId="18" xfId="3" applyNumberFormat="1" applyFont="1" applyFill="1" applyBorder="1"/>
    <xf numFmtId="2" fontId="8" fillId="2" borderId="1" xfId="0" applyNumberFormat="1" applyFont="1" applyFill="1" applyBorder="1"/>
    <xf numFmtId="10" fontId="8" fillId="2" borderId="1" xfId="0" applyNumberFormat="1" applyFont="1" applyFill="1" applyBorder="1" applyAlignment="1">
      <alignment horizontal="center"/>
    </xf>
    <xf numFmtId="180" fontId="7" fillId="0" borderId="6" xfId="2" applyNumberFormat="1" applyFont="1" applyBorder="1"/>
    <xf numFmtId="180" fontId="7" fillId="0" borderId="19" xfId="2" applyNumberFormat="1" applyFont="1" applyBorder="1"/>
    <xf numFmtId="10" fontId="8" fillId="3" borderId="1" xfId="3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3"/>
  <sheetViews>
    <sheetView tabSelected="1" topLeftCell="A17" workbookViewId="0">
      <selection activeCell="G14" sqref="G14"/>
    </sheetView>
  </sheetViews>
  <sheetFormatPr defaultRowHeight="15.6"/>
  <cols>
    <col min="1" max="1" width="17.33203125" style="2" customWidth="1"/>
    <col min="2" max="2" width="9.33203125" style="2" customWidth="1"/>
    <col min="3" max="12" width="10.33203125" style="2" customWidth="1"/>
    <col min="13" max="256" width="11.5546875" customWidth="1"/>
  </cols>
  <sheetData>
    <row r="1" spans="1:12" s="4" customFormat="1" ht="17.399999999999999">
      <c r="A1" s="5" t="s">
        <v>10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s="1" customFormat="1" ht="13.2">
      <c r="A2" s="6" t="s">
        <v>11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s="10" customFormat="1" ht="15" customHeight="1">
      <c r="A3" s="8" t="s">
        <v>12</v>
      </c>
      <c r="B3" s="9"/>
      <c r="C3" s="9"/>
      <c r="D3" s="62">
        <v>12406</v>
      </c>
      <c r="E3" s="6"/>
      <c r="F3" s="6"/>
      <c r="G3" s="6"/>
      <c r="H3" s="6"/>
      <c r="I3" s="6"/>
      <c r="J3" s="6"/>
      <c r="K3" s="6"/>
      <c r="L3" s="6"/>
    </row>
    <row r="4" spans="1:12" s="10" customFormat="1" ht="15" customHeight="1">
      <c r="A4" s="8" t="s">
        <v>66</v>
      </c>
      <c r="B4" s="9"/>
      <c r="C4" s="9"/>
      <c r="D4" s="62">
        <v>855</v>
      </c>
      <c r="E4" s="6"/>
      <c r="F4" s="6"/>
      <c r="G4" s="6"/>
      <c r="H4" s="6"/>
      <c r="I4" s="6"/>
      <c r="J4" s="6"/>
      <c r="K4" s="6"/>
      <c r="L4" s="6"/>
    </row>
    <row r="5" spans="1:12" s="10" customFormat="1" ht="15" customHeight="1">
      <c r="A5" s="8" t="s">
        <v>13</v>
      </c>
      <c r="B5" s="9"/>
      <c r="C5" s="9"/>
      <c r="D5" s="63">
        <v>233</v>
      </c>
      <c r="E5" s="6"/>
      <c r="F5" s="6"/>
      <c r="G5" s="6"/>
      <c r="H5" s="6"/>
      <c r="I5" s="6"/>
      <c r="J5" s="6"/>
      <c r="K5" s="6"/>
      <c r="L5" s="6"/>
    </row>
    <row r="6" spans="1:12" s="10" customFormat="1" ht="15" customHeight="1">
      <c r="A6" s="8" t="s">
        <v>14</v>
      </c>
      <c r="B6" s="9"/>
      <c r="C6" s="9"/>
      <c r="D6" s="63">
        <v>298</v>
      </c>
      <c r="E6" s="6"/>
      <c r="F6" s="6"/>
      <c r="G6" s="6"/>
      <c r="H6" s="6"/>
      <c r="I6" s="6"/>
      <c r="J6" s="6"/>
      <c r="K6" s="6"/>
      <c r="L6" s="6"/>
    </row>
    <row r="7" spans="1:12" s="10" customFormat="1" ht="15" customHeight="1">
      <c r="A7" s="8" t="s">
        <v>15</v>
      </c>
      <c r="B7" s="9"/>
      <c r="C7" s="9"/>
      <c r="D7" s="64">
        <v>115</v>
      </c>
      <c r="E7" s="6"/>
      <c r="F7" s="6"/>
      <c r="G7" s="6"/>
      <c r="H7" s="6"/>
      <c r="I7" s="6"/>
      <c r="J7" s="6"/>
      <c r="K7" s="6"/>
      <c r="L7" s="6"/>
    </row>
    <row r="8" spans="1:12" s="10" customFormat="1" ht="15" customHeight="1">
      <c r="A8" s="8" t="s">
        <v>16</v>
      </c>
      <c r="B8" s="9"/>
      <c r="C8" s="9"/>
      <c r="D8" s="64">
        <v>0</v>
      </c>
      <c r="E8" s="6"/>
      <c r="F8" s="6"/>
      <c r="G8" s="6"/>
      <c r="H8" s="6"/>
      <c r="I8" s="6"/>
      <c r="J8" s="6"/>
      <c r="K8" s="6"/>
      <c r="L8" s="6"/>
    </row>
    <row r="9" spans="1:12" s="10" customFormat="1" ht="15" customHeight="1">
      <c r="A9" s="8" t="s">
        <v>0</v>
      </c>
      <c r="B9" s="9"/>
      <c r="C9" s="9"/>
      <c r="D9" s="64">
        <v>850</v>
      </c>
      <c r="E9" s="6"/>
      <c r="F9" s="6"/>
      <c r="G9" s="6"/>
      <c r="H9" s="6"/>
      <c r="I9" s="6"/>
      <c r="J9" s="6"/>
      <c r="K9" s="6"/>
      <c r="L9" s="6"/>
    </row>
    <row r="10" spans="1:12" s="10" customFormat="1" ht="15" customHeight="1">
      <c r="A10" s="8" t="s">
        <v>1</v>
      </c>
      <c r="B10" s="9"/>
      <c r="C10" s="9"/>
      <c r="D10" s="64">
        <v>1500</v>
      </c>
      <c r="E10" s="6"/>
      <c r="F10" s="6"/>
      <c r="G10" s="6"/>
      <c r="H10" s="6"/>
      <c r="I10" s="6"/>
      <c r="J10" s="6"/>
      <c r="K10" s="6"/>
      <c r="L10" s="6"/>
    </row>
    <row r="11" spans="1:12" s="10" customFormat="1" ht="15" customHeight="1">
      <c r="A11" s="8" t="s">
        <v>17</v>
      </c>
      <c r="B11" s="9"/>
      <c r="C11" s="9"/>
      <c r="D11" s="65">
        <v>1500</v>
      </c>
      <c r="E11" s="6"/>
      <c r="F11" s="6"/>
      <c r="G11" s="6"/>
      <c r="H11" s="6"/>
      <c r="I11" s="6"/>
      <c r="J11" s="6"/>
      <c r="K11" s="6"/>
      <c r="L11" s="6"/>
    </row>
    <row r="12" spans="1:12" s="10" customFormat="1" ht="13.2">
      <c r="A12" s="11"/>
      <c r="B12" s="12"/>
      <c r="C12" s="12"/>
      <c r="D12" s="13"/>
      <c r="E12" s="6"/>
      <c r="F12" s="6"/>
      <c r="G12" s="6"/>
      <c r="H12" s="6"/>
      <c r="I12" s="6"/>
      <c r="J12" s="6"/>
      <c r="K12" s="6"/>
      <c r="L12" s="6"/>
    </row>
    <row r="13" spans="1:12" s="17" customFormat="1" ht="19.95" customHeight="1">
      <c r="A13" s="14" t="s">
        <v>18</v>
      </c>
      <c r="B13" s="15"/>
      <c r="C13" s="15"/>
      <c r="D13" s="15"/>
      <c r="E13" s="16" t="s">
        <v>19</v>
      </c>
      <c r="F13" s="15"/>
      <c r="G13" s="15"/>
      <c r="H13" s="15"/>
      <c r="I13" s="15"/>
      <c r="J13" s="15"/>
      <c r="K13" s="15"/>
    </row>
    <row r="14" spans="1:12" s="17" customFormat="1" ht="19.95" customHeight="1">
      <c r="A14" s="18" t="s">
        <v>20</v>
      </c>
      <c r="B14" s="19"/>
      <c r="C14" s="19"/>
      <c r="D14" s="20"/>
      <c r="E14" s="66">
        <v>0.3</v>
      </c>
      <c r="F14" s="15"/>
      <c r="G14" s="15"/>
      <c r="H14" s="15"/>
      <c r="I14" s="15"/>
      <c r="J14" s="15"/>
      <c r="K14" s="15"/>
    </row>
    <row r="15" spans="1:12" s="17" customFormat="1" ht="19.95" customHeight="1">
      <c r="A15" s="22" t="s">
        <v>9</v>
      </c>
      <c r="B15" s="22"/>
      <c r="C15" s="22"/>
      <c r="D15" s="22"/>
      <c r="E15" s="74">
        <f>D4/D3</f>
        <v>6.8918265355473157E-2</v>
      </c>
      <c r="F15" s="15"/>
      <c r="G15" s="15"/>
      <c r="H15" s="15"/>
      <c r="I15" s="15"/>
      <c r="J15" s="15"/>
      <c r="K15" s="15"/>
    </row>
    <row r="16" spans="1:12" s="17" customFormat="1" ht="19.95" customHeight="1">
      <c r="A16" s="22" t="s">
        <v>7</v>
      </c>
      <c r="B16" s="22"/>
      <c r="C16" s="22"/>
      <c r="D16" s="22"/>
      <c r="E16" s="67">
        <v>0.3</v>
      </c>
      <c r="F16" s="15" t="s">
        <v>65</v>
      </c>
      <c r="G16" s="15"/>
      <c r="H16" s="15"/>
      <c r="I16" s="15"/>
      <c r="J16" s="15"/>
      <c r="K16" s="15"/>
    </row>
    <row r="17" spans="1:12" s="17" customFormat="1" ht="19.95" customHeight="1">
      <c r="A17" s="24" t="s">
        <v>21</v>
      </c>
      <c r="B17" s="24"/>
      <c r="C17" s="24"/>
      <c r="D17" s="24"/>
      <c r="E17" s="68">
        <v>0</v>
      </c>
      <c r="F17" s="15"/>
      <c r="G17" s="15"/>
      <c r="H17" s="15"/>
      <c r="I17" s="15"/>
      <c r="J17" s="15"/>
      <c r="K17" s="15"/>
    </row>
    <row r="18" spans="1:12" s="17" customFormat="1" ht="19.95" customHeight="1">
      <c r="A18" s="18" t="s">
        <v>22</v>
      </c>
      <c r="B18" s="19"/>
      <c r="C18" s="19"/>
      <c r="D18" s="20"/>
      <c r="E18" s="67">
        <f>E14</f>
        <v>0.3</v>
      </c>
      <c r="F18" s="15"/>
      <c r="G18" s="15"/>
      <c r="H18" s="15"/>
      <c r="I18" s="15"/>
      <c r="J18" s="15"/>
      <c r="K18" s="15"/>
    </row>
    <row r="19" spans="1:12" s="17" customFormat="1" ht="19.95" customHeight="1">
      <c r="A19" s="25" t="s">
        <v>23</v>
      </c>
      <c r="B19" s="26"/>
      <c r="C19" s="26"/>
      <c r="D19" s="27"/>
      <c r="E19" s="66">
        <v>7.4999999999999997E-2</v>
      </c>
      <c r="F19" s="15"/>
      <c r="G19" s="15"/>
      <c r="H19" s="15"/>
      <c r="I19" s="15"/>
      <c r="J19" s="15"/>
      <c r="K19" s="15"/>
    </row>
    <row r="20" spans="1:12" s="17" customFormat="1" ht="19.95" customHeight="1">
      <c r="A20" s="25" t="s">
        <v>24</v>
      </c>
      <c r="B20" s="26"/>
      <c r="C20" s="26"/>
      <c r="D20" s="27"/>
      <c r="E20" s="69">
        <v>0.36</v>
      </c>
      <c r="F20" s="15"/>
      <c r="G20" s="15"/>
      <c r="H20" s="15"/>
      <c r="I20" s="15"/>
      <c r="J20" s="15"/>
      <c r="K20" s="15"/>
    </row>
    <row r="21" spans="1:12" s="17" customFormat="1" ht="19.95" customHeight="1">
      <c r="A21" s="18" t="s">
        <v>25</v>
      </c>
      <c r="B21" s="19"/>
      <c r="C21" s="19"/>
      <c r="D21" s="20"/>
      <c r="E21" s="70">
        <v>1.25</v>
      </c>
      <c r="F21" s="28"/>
      <c r="G21" s="15"/>
      <c r="H21" s="15"/>
      <c r="I21" s="15"/>
      <c r="J21" s="15"/>
      <c r="K21" s="15"/>
      <c r="L21" s="15"/>
    </row>
    <row r="22" spans="1:12" s="17" customFormat="1" ht="19.95" customHeight="1">
      <c r="A22" s="18" t="s">
        <v>26</v>
      </c>
      <c r="B22" s="19"/>
      <c r="C22" s="19"/>
      <c r="D22" s="20"/>
      <c r="E22" s="67">
        <v>6.5000000000000002E-2</v>
      </c>
      <c r="F22" s="29"/>
      <c r="G22" s="15"/>
      <c r="H22" s="15"/>
      <c r="I22" s="15"/>
      <c r="J22" s="15"/>
      <c r="K22" s="15"/>
      <c r="L22" s="15"/>
    </row>
    <row r="23" spans="1:12" s="17" customFormat="1" ht="19.95" customHeight="1">
      <c r="A23" s="25" t="s">
        <v>27</v>
      </c>
      <c r="B23" s="26"/>
      <c r="C23" s="26"/>
      <c r="D23" s="27"/>
      <c r="E23" s="67">
        <v>5.5E-2</v>
      </c>
      <c r="F23" s="29"/>
      <c r="G23" s="15"/>
      <c r="H23" s="15"/>
      <c r="I23" s="15"/>
      <c r="J23" s="15"/>
      <c r="K23" s="15"/>
      <c r="L23" s="15"/>
    </row>
    <row r="24" spans="1:12" s="17" customFormat="1" ht="19.95" customHeight="1">
      <c r="A24" s="25" t="s">
        <v>28</v>
      </c>
      <c r="B24" s="26"/>
      <c r="C24" s="26"/>
      <c r="D24" s="27"/>
      <c r="E24" s="67">
        <v>8.5000000000000006E-2</v>
      </c>
      <c r="F24" s="28"/>
      <c r="G24" s="15"/>
      <c r="H24" s="15"/>
      <c r="I24" s="15"/>
      <c r="J24" s="15"/>
      <c r="K24" s="15"/>
      <c r="L24" s="15"/>
    </row>
    <row r="25" spans="1:12" s="17" customFormat="1" ht="19.95" customHeight="1">
      <c r="A25" s="14" t="s">
        <v>29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12" s="17" customFormat="1" ht="19.95" customHeight="1">
      <c r="A26" s="18" t="s">
        <v>30</v>
      </c>
      <c r="B26" s="19"/>
      <c r="C26" s="19"/>
      <c r="D26" s="20"/>
      <c r="E26" s="67">
        <v>0.06</v>
      </c>
      <c r="F26" s="15" t="str">
        <f>IF(E26&gt;7%,"This is high for a long term growth rate."," ")</f>
        <v xml:space="preserve"> </v>
      </c>
      <c r="G26" s="15"/>
      <c r="H26" s="15"/>
      <c r="I26" s="15"/>
      <c r="J26" s="15"/>
      <c r="K26" s="15"/>
      <c r="L26" s="15"/>
    </row>
    <row r="27" spans="1:12" s="17" customFormat="1" ht="19.95" customHeight="1">
      <c r="A27" s="22" t="s">
        <v>8</v>
      </c>
      <c r="B27" s="22"/>
      <c r="C27" s="22"/>
      <c r="D27" s="22"/>
      <c r="E27" s="67">
        <v>0.25</v>
      </c>
      <c r="F27" s="15"/>
      <c r="G27" s="15"/>
      <c r="H27" s="15"/>
      <c r="I27" s="15"/>
      <c r="J27" s="15"/>
      <c r="K27" s="15"/>
      <c r="L27" s="15"/>
    </row>
    <row r="28" spans="1:12" s="17" customFormat="1" ht="19.95" customHeight="1">
      <c r="A28" s="22" t="s">
        <v>2</v>
      </c>
      <c r="B28" s="22"/>
      <c r="C28" s="22"/>
      <c r="D28" s="22"/>
      <c r="E28" s="71" t="s">
        <v>3</v>
      </c>
      <c r="F28" s="15"/>
      <c r="G28" s="15"/>
      <c r="H28" s="15"/>
      <c r="I28" s="15"/>
      <c r="J28" s="15"/>
      <c r="K28" s="15"/>
      <c r="L28" s="15"/>
    </row>
    <row r="29" spans="1:12" s="17" customFormat="1" ht="19.95" customHeight="1">
      <c r="A29" s="22" t="s">
        <v>4</v>
      </c>
      <c r="B29" s="22"/>
      <c r="C29" s="22"/>
      <c r="D29" s="22"/>
      <c r="E29" s="67">
        <v>0.12</v>
      </c>
      <c r="F29" s="15"/>
      <c r="G29" s="15"/>
      <c r="H29" s="15"/>
      <c r="I29" s="15"/>
      <c r="J29" s="15"/>
      <c r="K29" s="15"/>
      <c r="L29" s="15"/>
    </row>
    <row r="30" spans="1:12" s="17" customFormat="1" ht="19.95" customHeight="1">
      <c r="A30" s="24" t="s">
        <v>31</v>
      </c>
      <c r="B30" s="24"/>
      <c r="C30" s="24"/>
      <c r="D30" s="24"/>
      <c r="E30" s="67">
        <v>2</v>
      </c>
      <c r="F30" s="15"/>
      <c r="G30" s="15"/>
      <c r="H30" s="15"/>
      <c r="I30" s="15"/>
      <c r="J30" s="15"/>
      <c r="K30" s="15"/>
      <c r="L30" s="15"/>
    </row>
    <row r="31" spans="1:12" s="17" customFormat="1" ht="19.95" customHeight="1">
      <c r="A31" s="24" t="s">
        <v>21</v>
      </c>
      <c r="B31" s="24"/>
      <c r="C31" s="24"/>
      <c r="D31" s="24"/>
      <c r="E31" s="67">
        <v>0.05</v>
      </c>
      <c r="F31" s="15"/>
      <c r="G31" s="15"/>
      <c r="H31" s="15"/>
      <c r="I31" s="15"/>
      <c r="J31" s="15"/>
      <c r="K31" s="15"/>
      <c r="L31" s="15"/>
    </row>
    <row r="32" spans="1:12" s="17" customFormat="1" ht="19.95" customHeight="1">
      <c r="A32" s="18" t="s">
        <v>32</v>
      </c>
      <c r="B32" s="19"/>
      <c r="C32" s="19"/>
      <c r="D32" s="20"/>
      <c r="E32" s="67">
        <v>7.4999999999999997E-2</v>
      </c>
      <c r="F32" s="15"/>
      <c r="G32" s="15"/>
      <c r="H32" s="15"/>
      <c r="I32" s="15"/>
      <c r="J32" s="15"/>
      <c r="K32" s="15"/>
      <c r="L32" s="15"/>
    </row>
    <row r="33" spans="1:12" s="17" customFormat="1" ht="19.95" customHeight="1">
      <c r="A33" s="18" t="s">
        <v>33</v>
      </c>
      <c r="B33" s="19"/>
      <c r="C33" s="19"/>
      <c r="D33" s="20"/>
      <c r="E33" s="70">
        <v>1.1000000000000001</v>
      </c>
      <c r="F33" s="15"/>
      <c r="G33" s="15"/>
      <c r="H33" s="15"/>
      <c r="I33" s="15"/>
      <c r="J33" s="15"/>
      <c r="K33" s="15"/>
      <c r="L33" s="15"/>
    </row>
    <row r="34" spans="1:12" s="1" customFormat="1" ht="19.95" customHeight="1">
      <c r="A34" s="7" t="s">
        <v>34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1:12" s="3" customFormat="1" ht="19.95" customHeight="1">
      <c r="A35" s="30"/>
      <c r="B35" s="30" t="s">
        <v>35</v>
      </c>
      <c r="C35" s="30">
        <v>1</v>
      </c>
      <c r="D35" s="30">
        <v>2</v>
      </c>
      <c r="E35" s="30">
        <v>3</v>
      </c>
      <c r="F35" s="30">
        <v>4</v>
      </c>
      <c r="G35" s="30">
        <v>5</v>
      </c>
      <c r="H35" s="30">
        <v>6</v>
      </c>
      <c r="I35" s="30">
        <v>7</v>
      </c>
      <c r="J35" s="30">
        <v>8</v>
      </c>
      <c r="K35" s="30">
        <v>9</v>
      </c>
      <c r="L35" s="30">
        <v>10</v>
      </c>
    </row>
    <row r="36" spans="1:12" s="34" customFormat="1" ht="19.95" customHeight="1">
      <c r="A36" s="31" t="s">
        <v>36</v>
      </c>
      <c r="B36" s="32"/>
      <c r="C36" s="33">
        <f>E14</f>
        <v>0.3</v>
      </c>
      <c r="D36" s="33">
        <f>E14</f>
        <v>0.3</v>
      </c>
      <c r="E36" s="33">
        <f>E14</f>
        <v>0.3</v>
      </c>
      <c r="F36" s="33">
        <f>E14</f>
        <v>0.3</v>
      </c>
      <c r="G36" s="33">
        <f>E14</f>
        <v>0.3</v>
      </c>
      <c r="H36" s="33">
        <f>$E$26+(($E$14-$E$26)/5)*($L$35-H35)</f>
        <v>0.252</v>
      </c>
      <c r="I36" s="33">
        <f>$E$26+(($E$14-$E$26)/5)*($L$35-I35)</f>
        <v>0.20400000000000001</v>
      </c>
      <c r="J36" s="33">
        <f>$E$26+(($E$14-$E$26)/5)*($L$35-J35)</f>
        <v>0.156</v>
      </c>
      <c r="K36" s="33">
        <f>$E$26+(($E$14-$E$26)/5)*($L$35-K35)</f>
        <v>0.108</v>
      </c>
      <c r="L36" s="33">
        <f>$E$26+(($E$14-$E$26)/5)*($L$35-L35)</f>
        <v>0.06</v>
      </c>
    </row>
    <row r="37" spans="1:12" s="34" customFormat="1" ht="19.95" customHeight="1">
      <c r="A37" s="31" t="s">
        <v>37</v>
      </c>
      <c r="B37" s="32"/>
      <c r="C37" s="33">
        <f>$E$18</f>
        <v>0.3</v>
      </c>
      <c r="D37" s="33">
        <f>$E$18</f>
        <v>0.3</v>
      </c>
      <c r="E37" s="33">
        <f>$E$18</f>
        <v>0.3</v>
      </c>
      <c r="F37" s="33">
        <f>$E$18</f>
        <v>0.3</v>
      </c>
      <c r="G37" s="33">
        <f>$E$18</f>
        <v>0.3</v>
      </c>
      <c r="H37" s="33">
        <f>$E$26+(($E$18-$E$26)/5)*($L$35-H35)</f>
        <v>0.252</v>
      </c>
      <c r="I37" s="33">
        <f>$E$26+(($E$18-$E$26)/5)*($L$35-I35)</f>
        <v>0.20400000000000001</v>
      </c>
      <c r="J37" s="33">
        <f>$E$26+(($E$18-$E$26)/5)*($L$35-J35)</f>
        <v>0.156</v>
      </c>
      <c r="K37" s="33">
        <f>$E$26+(($E$18-$E$26)/5)*($L$35-K35)</f>
        <v>0.108</v>
      </c>
      <c r="L37" s="33">
        <f>$E$26+(($E$18-$E$26)/5)*($L$35-L35)</f>
        <v>0.06</v>
      </c>
    </row>
    <row r="38" spans="1:12" s="36" customFormat="1" ht="19.95" customHeight="1">
      <c r="A38" s="35" t="s">
        <v>38</v>
      </c>
      <c r="B38" s="35">
        <f>D3</f>
        <v>12406</v>
      </c>
      <c r="C38" s="35">
        <f>B38*(1+$E$14)</f>
        <v>16127.800000000001</v>
      </c>
      <c r="D38" s="35">
        <f>C38*(1+$E$14)</f>
        <v>20966.140000000003</v>
      </c>
      <c r="E38" s="35">
        <f>D38*(1+$E$14)</f>
        <v>27255.982000000004</v>
      </c>
      <c r="F38" s="35">
        <f>E38*(1+$E$14)</f>
        <v>35432.776600000005</v>
      </c>
      <c r="G38" s="35">
        <f t="shared" ref="G38:L38" si="0">F38*(1+G36)</f>
        <v>46062.609580000011</v>
      </c>
      <c r="H38" s="35">
        <f t="shared" si="0"/>
        <v>57670.387194160015</v>
      </c>
      <c r="I38" s="35">
        <f t="shared" si="0"/>
        <v>69435.14618176865</v>
      </c>
      <c r="J38" s="35">
        <f t="shared" si="0"/>
        <v>80267.028986124555</v>
      </c>
      <c r="K38" s="35">
        <f t="shared" si="0"/>
        <v>88935.868116626021</v>
      </c>
      <c r="L38" s="35">
        <f t="shared" si="0"/>
        <v>94272.020203623586</v>
      </c>
    </row>
    <row r="39" spans="1:12" s="1" customFormat="1" ht="19.95" customHeight="1">
      <c r="A39" s="16" t="s">
        <v>39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</row>
    <row r="40" spans="1:12" s="17" customFormat="1" ht="19.95" customHeight="1">
      <c r="A40" s="24" t="s">
        <v>40</v>
      </c>
      <c r="B40" s="21">
        <f>1-B42/B38</f>
        <v>0.93108173464452682</v>
      </c>
      <c r="C40" s="21">
        <f>$G$40+(($B$40-$G$40)/5)*($G$35-C35)</f>
        <v>0.8848653877156214</v>
      </c>
      <c r="D40" s="21">
        <f>$G$40+(($B$40-$G$40)/5)*($G$35-D35)</f>
        <v>0.83864904078671609</v>
      </c>
      <c r="E40" s="21">
        <f>$G$40+(($B$40-$G$40)/5)*($G$35-E35)</f>
        <v>0.79243269385781068</v>
      </c>
      <c r="F40" s="21">
        <f>$G$40+(($B$40-$G$40)/5)*($G$35-F35)</f>
        <v>0.74621634692890537</v>
      </c>
      <c r="G40" s="21">
        <f>1-E16</f>
        <v>0.7</v>
      </c>
      <c r="H40" s="21">
        <f>$L$40+($G$40-$L$40)/5*($L$35-H35)</f>
        <v>0.71</v>
      </c>
      <c r="I40" s="21">
        <f>$L$40+($G$40-$L$40)/5*($L$35-I35)</f>
        <v>0.72</v>
      </c>
      <c r="J40" s="21">
        <f>$L$40+($G$40-$L$40)/5*($L$35-J35)</f>
        <v>0.73</v>
      </c>
      <c r="K40" s="21">
        <f>$L$40+($G$40-$L$40)/5*($L$35-K35)</f>
        <v>0.74</v>
      </c>
      <c r="L40" s="21">
        <f>1-E27</f>
        <v>0.75</v>
      </c>
    </row>
    <row r="41" spans="1:12" s="17" customFormat="1" ht="19.95" customHeight="1">
      <c r="A41" s="24" t="s">
        <v>41</v>
      </c>
      <c r="B41" s="35">
        <f t="shared" ref="B41:L41" si="1">B40*B38</f>
        <v>11551</v>
      </c>
      <c r="C41" s="35">
        <f t="shared" si="1"/>
        <v>14270.931999999999</v>
      </c>
      <c r="D41" s="35">
        <f t="shared" si="1"/>
        <v>17583.233200000002</v>
      </c>
      <c r="E41" s="35">
        <f t="shared" si="1"/>
        <v>21598.53124</v>
      </c>
      <c r="F41" s="35">
        <f t="shared" si="1"/>
        <v>26440.517116000003</v>
      </c>
      <c r="G41" s="35">
        <f t="shared" si="1"/>
        <v>32243.826706000007</v>
      </c>
      <c r="H41" s="35">
        <f t="shared" si="1"/>
        <v>40945.974907853612</v>
      </c>
      <c r="I41" s="35">
        <f t="shared" si="1"/>
        <v>49993.305250873425</v>
      </c>
      <c r="J41" s="35">
        <f t="shared" si="1"/>
        <v>58594.931159870925</v>
      </c>
      <c r="K41" s="35">
        <f t="shared" si="1"/>
        <v>65812.542406303255</v>
      </c>
      <c r="L41" s="35">
        <f t="shared" si="1"/>
        <v>70704.015152717693</v>
      </c>
    </row>
    <row r="42" spans="1:12" s="17" customFormat="1" ht="19.95" customHeight="1">
      <c r="A42" s="24" t="s">
        <v>42</v>
      </c>
      <c r="B42" s="35">
        <f>D4</f>
        <v>855</v>
      </c>
      <c r="C42" s="35">
        <f t="shared" ref="C42:L42" si="2">C38-C41</f>
        <v>1856.8680000000022</v>
      </c>
      <c r="D42" s="35">
        <f t="shared" si="2"/>
        <v>3382.9068000000007</v>
      </c>
      <c r="E42" s="35">
        <f t="shared" si="2"/>
        <v>5657.4507600000034</v>
      </c>
      <c r="F42" s="35">
        <f t="shared" si="2"/>
        <v>8992.259484000002</v>
      </c>
      <c r="G42" s="35">
        <f t="shared" si="2"/>
        <v>13818.782874000004</v>
      </c>
      <c r="H42" s="35">
        <f t="shared" si="2"/>
        <v>16724.412286306404</v>
      </c>
      <c r="I42" s="35">
        <f t="shared" si="2"/>
        <v>19441.840930895225</v>
      </c>
      <c r="J42" s="35">
        <f t="shared" si="2"/>
        <v>21672.09782625363</v>
      </c>
      <c r="K42" s="35">
        <f t="shared" si="2"/>
        <v>23123.325710322766</v>
      </c>
      <c r="L42" s="35">
        <f t="shared" si="2"/>
        <v>23568.005050905893</v>
      </c>
    </row>
    <row r="43" spans="1:12" s="17" customFormat="1" ht="19.95" customHeight="1">
      <c r="A43" s="24" t="s">
        <v>43</v>
      </c>
      <c r="B43" s="21">
        <f>E20</f>
        <v>0.36</v>
      </c>
      <c r="C43" s="23">
        <f t="shared" ref="C43:L43" si="3">B43</f>
        <v>0.36</v>
      </c>
      <c r="D43" s="23">
        <f t="shared" si="3"/>
        <v>0.36</v>
      </c>
      <c r="E43" s="23">
        <f t="shared" si="3"/>
        <v>0.36</v>
      </c>
      <c r="F43" s="23">
        <f t="shared" si="3"/>
        <v>0.36</v>
      </c>
      <c r="G43" s="23">
        <f t="shared" si="3"/>
        <v>0.36</v>
      </c>
      <c r="H43" s="23">
        <f t="shared" si="3"/>
        <v>0.36</v>
      </c>
      <c r="I43" s="23">
        <f t="shared" si="3"/>
        <v>0.36</v>
      </c>
      <c r="J43" s="23">
        <f t="shared" si="3"/>
        <v>0.36</v>
      </c>
      <c r="K43" s="23">
        <f t="shared" si="3"/>
        <v>0.36</v>
      </c>
      <c r="L43" s="23">
        <f t="shared" si="3"/>
        <v>0.36</v>
      </c>
    </row>
    <row r="44" spans="1:12" s="17" customFormat="1" ht="19.95" customHeight="1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</row>
    <row r="45" spans="1:12" s="17" customFormat="1" ht="19.95" customHeight="1">
      <c r="A45" s="24" t="s">
        <v>44</v>
      </c>
      <c r="B45" s="35">
        <f>B42*(1-B43)</f>
        <v>547.20000000000005</v>
      </c>
      <c r="C45" s="35">
        <f t="shared" ref="C45:L45" si="4">C42*(1-C43)</f>
        <v>1188.3955200000014</v>
      </c>
      <c r="D45" s="35">
        <f t="shared" si="4"/>
        <v>2165.0603520000004</v>
      </c>
      <c r="E45" s="35">
        <f t="shared" si="4"/>
        <v>3620.7684864000021</v>
      </c>
      <c r="F45" s="35">
        <f t="shared" si="4"/>
        <v>5755.046069760001</v>
      </c>
      <c r="G45" s="35">
        <f t="shared" si="4"/>
        <v>8844.0210393600028</v>
      </c>
      <c r="H45" s="35">
        <f t="shared" si="4"/>
        <v>10703.623863236098</v>
      </c>
      <c r="I45" s="35">
        <f t="shared" si="4"/>
        <v>12442.778195772944</v>
      </c>
      <c r="J45" s="35">
        <f t="shared" si="4"/>
        <v>13870.142608802324</v>
      </c>
      <c r="K45" s="35">
        <f t="shared" si="4"/>
        <v>14798.92845460657</v>
      </c>
      <c r="L45" s="35">
        <f t="shared" si="4"/>
        <v>15083.523232579772</v>
      </c>
    </row>
    <row r="46" spans="1:12" s="17" customFormat="1" ht="19.95" customHeight="1">
      <c r="A46" s="24" t="s">
        <v>45</v>
      </c>
      <c r="B46" s="35">
        <f>D6</f>
        <v>298</v>
      </c>
      <c r="C46" s="35">
        <f t="shared" ref="C46:L46" si="5">B46*(1+C37)</f>
        <v>387.40000000000003</v>
      </c>
      <c r="D46" s="35">
        <f t="shared" si="5"/>
        <v>503.62000000000006</v>
      </c>
      <c r="E46" s="35">
        <f t="shared" si="5"/>
        <v>654.70600000000013</v>
      </c>
      <c r="F46" s="35">
        <f t="shared" si="5"/>
        <v>851.11780000000022</v>
      </c>
      <c r="G46" s="35">
        <f t="shared" si="5"/>
        <v>1106.4531400000003</v>
      </c>
      <c r="H46" s="35">
        <f t="shared" si="5"/>
        <v>1385.2793312800004</v>
      </c>
      <c r="I46" s="35">
        <f t="shared" si="5"/>
        <v>1667.8763148611204</v>
      </c>
      <c r="J46" s="35">
        <f t="shared" si="5"/>
        <v>1928.065019979455</v>
      </c>
      <c r="K46" s="35">
        <f t="shared" si="5"/>
        <v>2136.2960421372363</v>
      </c>
      <c r="L46" s="35">
        <f t="shared" si="5"/>
        <v>2264.4738046654707</v>
      </c>
    </row>
    <row r="47" spans="1:12" s="17" customFormat="1" ht="19.95" customHeight="1">
      <c r="A47" s="24" t="s">
        <v>46</v>
      </c>
      <c r="B47" s="35">
        <f>D5</f>
        <v>233</v>
      </c>
      <c r="C47" s="35">
        <f>B47*(1+$E$18)</f>
        <v>302.90000000000003</v>
      </c>
      <c r="D47" s="35">
        <f>C47*(1+$E$18)</f>
        <v>393.77000000000004</v>
      </c>
      <c r="E47" s="35">
        <f>D47*(1+$E$18)</f>
        <v>511.90100000000007</v>
      </c>
      <c r="F47" s="35">
        <f>E47*(1+$E$18)</f>
        <v>665.47130000000016</v>
      </c>
      <c r="G47" s="35">
        <f>F47*(1+$E$18)</f>
        <v>865.11269000000027</v>
      </c>
      <c r="H47" s="35">
        <f>$L$47+(($G$47-$L$47)/5)*($L$35-H35)</f>
        <v>2573.2949548861079</v>
      </c>
      <c r="I47" s="35">
        <f>$L$47+(($G$47-$L$47)/5)*($L$35-I35)</f>
        <v>4281.4772197722159</v>
      </c>
      <c r="J47" s="35">
        <f>$L$47+(($G$47-$L$47)/5)*($L$35-J35)</f>
        <v>5989.659484658323</v>
      </c>
      <c r="K47" s="35">
        <f>$L$47+(($G$47-$L$47)/5)*($L$35-K35)</f>
        <v>7697.841749544431</v>
      </c>
      <c r="L47" s="35">
        <f>IF(E28="Yes",(E26/E29)*L45-L48+L46,L46*E30)</f>
        <v>9406.024014430539</v>
      </c>
    </row>
    <row r="48" spans="1:12" s="17" customFormat="1" ht="19.95" customHeight="1" thickBot="1">
      <c r="A48" s="24" t="s">
        <v>47</v>
      </c>
      <c r="B48" s="35">
        <f>D7</f>
        <v>115</v>
      </c>
      <c r="C48" s="35">
        <f t="shared" ref="C48:L48" si="6">$E$19*(C38-B38)</f>
        <v>279.13500000000005</v>
      </c>
      <c r="D48" s="35">
        <f t="shared" si="6"/>
        <v>362.87550000000016</v>
      </c>
      <c r="E48" s="35">
        <f t="shared" si="6"/>
        <v>471.73815000000002</v>
      </c>
      <c r="F48" s="35">
        <f t="shared" si="6"/>
        <v>613.2595950000001</v>
      </c>
      <c r="G48" s="35">
        <f t="shared" si="6"/>
        <v>797.23747350000042</v>
      </c>
      <c r="H48" s="35">
        <f t="shared" si="6"/>
        <v>870.58332106200032</v>
      </c>
      <c r="I48" s="35">
        <f t="shared" si="6"/>
        <v>882.35692407064755</v>
      </c>
      <c r="J48" s="35">
        <f t="shared" si="6"/>
        <v>812.39121032669277</v>
      </c>
      <c r="K48" s="35">
        <f t="shared" si="6"/>
        <v>650.16293478760997</v>
      </c>
      <c r="L48" s="35">
        <f t="shared" si="6"/>
        <v>400.21140652481733</v>
      </c>
    </row>
    <row r="49" spans="1:12" s="40" customFormat="1" ht="19.95" customHeight="1" thickBot="1">
      <c r="A49" s="38" t="s">
        <v>48</v>
      </c>
      <c r="B49" s="39">
        <f>B45+B46-B47-B48</f>
        <v>497.20000000000005</v>
      </c>
      <c r="C49" s="39">
        <f t="shared" ref="C49:L49" si="7">C45+C46-C47-C48</f>
        <v>993.76052000000141</v>
      </c>
      <c r="D49" s="39">
        <f t="shared" si="7"/>
        <v>1912.0348520000002</v>
      </c>
      <c r="E49" s="39">
        <f t="shared" si="7"/>
        <v>3291.8353364000022</v>
      </c>
      <c r="F49" s="39">
        <f t="shared" si="7"/>
        <v>5327.4329747600004</v>
      </c>
      <c r="G49" s="39">
        <f t="shared" si="7"/>
        <v>8288.1240158600012</v>
      </c>
      <c r="H49" s="39">
        <f t="shared" si="7"/>
        <v>8645.0249185679895</v>
      </c>
      <c r="I49" s="39">
        <f t="shared" si="7"/>
        <v>8946.8203667912003</v>
      </c>
      <c r="J49" s="39">
        <f t="shared" si="7"/>
        <v>8996.156933796763</v>
      </c>
      <c r="K49" s="39">
        <f t="shared" si="7"/>
        <v>8587.2198124117658</v>
      </c>
      <c r="L49" s="39">
        <f t="shared" si="7"/>
        <v>7541.7616162898848</v>
      </c>
    </row>
    <row r="50" spans="1:12" s="40" customFormat="1" ht="19.95" customHeight="1" thickBot="1">
      <c r="A50" s="38" t="s">
        <v>49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39">
        <f>L49*(1+E26)/(L57-E26)</f>
        <v>129724.41887654812</v>
      </c>
    </row>
    <row r="51" spans="1:12" s="44" customFormat="1" ht="19.95" customHeight="1">
      <c r="A51" s="42" t="s">
        <v>50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3"/>
    </row>
    <row r="52" spans="1:12" s="3" customFormat="1" ht="19.95" customHeight="1">
      <c r="A52" s="30"/>
      <c r="B52" s="30"/>
      <c r="C52" s="30">
        <f t="shared" ref="C52:L52" si="8">C35</f>
        <v>1</v>
      </c>
      <c r="D52" s="30">
        <f t="shared" si="8"/>
        <v>2</v>
      </c>
      <c r="E52" s="30">
        <f t="shared" si="8"/>
        <v>3</v>
      </c>
      <c r="F52" s="30">
        <f t="shared" si="8"/>
        <v>4</v>
      </c>
      <c r="G52" s="30">
        <f t="shared" si="8"/>
        <v>5</v>
      </c>
      <c r="H52" s="30">
        <f t="shared" si="8"/>
        <v>6</v>
      </c>
      <c r="I52" s="30">
        <f t="shared" si="8"/>
        <v>7</v>
      </c>
      <c r="J52" s="30">
        <f t="shared" si="8"/>
        <v>8</v>
      </c>
      <c r="K52" s="30">
        <f t="shared" si="8"/>
        <v>9</v>
      </c>
      <c r="L52" s="30">
        <f t="shared" si="8"/>
        <v>10</v>
      </c>
    </row>
    <row r="53" spans="1:12" s="45" customFormat="1" ht="19.95" customHeight="1">
      <c r="A53" s="21" t="s">
        <v>51</v>
      </c>
      <c r="B53" s="21"/>
      <c r="C53" s="21">
        <f>$E$21*$E$23+$E$22</f>
        <v>0.13375000000000001</v>
      </c>
      <c r="D53" s="21">
        <f>$E$21*$E$23+$E$22</f>
        <v>0.13375000000000001</v>
      </c>
      <c r="E53" s="21">
        <f>$E$21*$E$23+$E$22</f>
        <v>0.13375000000000001</v>
      </c>
      <c r="F53" s="21">
        <f>$E$21*$E$23+$E$22</f>
        <v>0.13375000000000001</v>
      </c>
      <c r="G53" s="21">
        <f>$E$21*$E$23+$E$22</f>
        <v>0.13375000000000001</v>
      </c>
      <c r="H53" s="21">
        <f>$L$53+($G$53-$L$53)/5*($L$35-H35)</f>
        <v>0.1321</v>
      </c>
      <c r="I53" s="21">
        <f>$L$53+($G$53-$L$53)/5*($L$35-I35)</f>
        <v>0.13045000000000001</v>
      </c>
      <c r="J53" s="21">
        <f>$L$53+($G$53-$L$53)/5*($L$35-J35)</f>
        <v>0.1288</v>
      </c>
      <c r="K53" s="21">
        <f>$L$53+($G$53-$L$53)/5*($L$35-K35)</f>
        <v>0.12715000000000001</v>
      </c>
      <c r="L53" s="21">
        <f>$E$33*$E$23+$E$22</f>
        <v>0.1255</v>
      </c>
    </row>
    <row r="54" spans="1:12" s="17" customFormat="1" ht="19.95" customHeight="1">
      <c r="A54" s="24" t="s">
        <v>52</v>
      </c>
      <c r="B54" s="24"/>
      <c r="C54" s="21">
        <f>1-$E$17</f>
        <v>1</v>
      </c>
      <c r="D54" s="21">
        <f>1-$E$17</f>
        <v>1</v>
      </c>
      <c r="E54" s="21">
        <f>1-$E$17</f>
        <v>1</v>
      </c>
      <c r="F54" s="21">
        <f>1-$E$17</f>
        <v>1</v>
      </c>
      <c r="G54" s="21">
        <f>1-$E$17</f>
        <v>1</v>
      </c>
      <c r="H54" s="21">
        <f>$L$54+($G$54-$L$54)/5*($L$35-H35)</f>
        <v>0.99</v>
      </c>
      <c r="I54" s="21">
        <f>$L$54+($G$54-$L$54)/5*($L$35-I35)</f>
        <v>0.98</v>
      </c>
      <c r="J54" s="21">
        <f>$L$54+($G$54-$L$54)/5*($L$35-J35)</f>
        <v>0.97</v>
      </c>
      <c r="K54" s="21">
        <f>$L$54+($G$54-$L$54)/5*($L$35-K35)</f>
        <v>0.96</v>
      </c>
      <c r="L54" s="21">
        <f>1-E31</f>
        <v>0.95</v>
      </c>
    </row>
    <row r="55" spans="1:12" s="17" customFormat="1" ht="19.95" customHeight="1">
      <c r="A55" s="24" t="s">
        <v>53</v>
      </c>
      <c r="B55" s="24"/>
      <c r="C55" s="21">
        <f>$E$24*(1-$B$43)</f>
        <v>5.4400000000000004E-2</v>
      </c>
      <c r="D55" s="21">
        <f>$E$24*(1-$B$43)</f>
        <v>5.4400000000000004E-2</v>
      </c>
      <c r="E55" s="21">
        <f>$E$24*(1-$B$43)</f>
        <v>5.4400000000000004E-2</v>
      </c>
      <c r="F55" s="21">
        <f>$E$24*(1-$B$43)</f>
        <v>5.4400000000000004E-2</v>
      </c>
      <c r="G55" s="21">
        <f>$E$24*(1-$B$43)</f>
        <v>5.4400000000000004E-2</v>
      </c>
      <c r="H55" s="21">
        <f>($E$32+(($E$24-$E$32)/5)*($L$52-H52))*(1-$B$43)</f>
        <v>5.3120000000000001E-2</v>
      </c>
      <c r="I55" s="21">
        <f>($E$32+(($E$24-$E$32)/5)*($L$52-I52))*(1-$B$43)</f>
        <v>5.1840000000000004E-2</v>
      </c>
      <c r="J55" s="21">
        <f>($E$32+(($E$24-$E$32)/5)*($L$52-J52))*(1-$B$43)</f>
        <v>5.0560000000000001E-2</v>
      </c>
      <c r="K55" s="21">
        <f>($E$32+(($E$24-$E$32)/5)*($L$52-K52))*(1-$B$43)</f>
        <v>4.9279999999999997E-2</v>
      </c>
      <c r="L55" s="21">
        <f>($E$32+(($E$24-$E$32)/5)*($L$52-L52))*(1-$B$43)</f>
        <v>4.8000000000000001E-2</v>
      </c>
    </row>
    <row r="56" spans="1:12" s="17" customFormat="1" ht="19.95" customHeight="1">
      <c r="A56" s="24" t="s">
        <v>54</v>
      </c>
      <c r="B56" s="24"/>
      <c r="C56" s="23">
        <f>1-C54</f>
        <v>0</v>
      </c>
      <c r="D56" s="23">
        <f t="shared" ref="D56:L56" si="9">1-D54</f>
        <v>0</v>
      </c>
      <c r="E56" s="23">
        <f t="shared" si="9"/>
        <v>0</v>
      </c>
      <c r="F56" s="23">
        <f t="shared" si="9"/>
        <v>0</v>
      </c>
      <c r="G56" s="23">
        <f t="shared" si="9"/>
        <v>0</v>
      </c>
      <c r="H56" s="23">
        <f t="shared" si="9"/>
        <v>1.0000000000000009E-2</v>
      </c>
      <c r="I56" s="23">
        <f t="shared" si="9"/>
        <v>2.0000000000000018E-2</v>
      </c>
      <c r="J56" s="23">
        <f t="shared" si="9"/>
        <v>3.0000000000000027E-2</v>
      </c>
      <c r="K56" s="23">
        <f t="shared" si="9"/>
        <v>4.0000000000000036E-2</v>
      </c>
      <c r="L56" s="23">
        <f t="shared" si="9"/>
        <v>5.0000000000000044E-2</v>
      </c>
    </row>
    <row r="57" spans="1:12" s="17" customFormat="1" ht="19.95" customHeight="1">
      <c r="A57" s="24" t="s">
        <v>55</v>
      </c>
      <c r="B57" s="24"/>
      <c r="C57" s="21">
        <f>C53*C54+C55*C56</f>
        <v>0.13375000000000001</v>
      </c>
      <c r="D57" s="21">
        <f t="shared" ref="D57:L57" si="10">D53*D54+D55*D56</f>
        <v>0.13375000000000001</v>
      </c>
      <c r="E57" s="21">
        <f t="shared" si="10"/>
        <v>0.13375000000000001</v>
      </c>
      <c r="F57" s="21">
        <f t="shared" si="10"/>
        <v>0.13375000000000001</v>
      </c>
      <c r="G57" s="21">
        <f t="shared" si="10"/>
        <v>0.13375000000000001</v>
      </c>
      <c r="H57" s="21">
        <f t="shared" si="10"/>
        <v>0.13131020000000002</v>
      </c>
      <c r="I57" s="21">
        <f t="shared" si="10"/>
        <v>0.12887780000000001</v>
      </c>
      <c r="J57" s="21">
        <f t="shared" si="10"/>
        <v>0.1264528</v>
      </c>
      <c r="K57" s="21">
        <f t="shared" si="10"/>
        <v>0.12403520000000001</v>
      </c>
      <c r="L57" s="21">
        <f t="shared" si="10"/>
        <v>0.121625</v>
      </c>
    </row>
    <row r="58" spans="1:12" s="17" customFormat="1" ht="19.95" customHeight="1">
      <c r="A58" s="24" t="s">
        <v>56</v>
      </c>
      <c r="B58" s="24"/>
      <c r="C58" s="21">
        <f>1+C57</f>
        <v>1.13375</v>
      </c>
      <c r="D58" s="21">
        <f t="shared" ref="D58:L58" si="11">C58*(1+D57)</f>
        <v>1.2853890625000002</v>
      </c>
      <c r="E58" s="21">
        <f t="shared" si="11"/>
        <v>1.4573098496093753</v>
      </c>
      <c r="F58" s="21">
        <f t="shared" si="11"/>
        <v>1.6522250419946292</v>
      </c>
      <c r="G58" s="21">
        <f t="shared" si="11"/>
        <v>1.8732101413614108</v>
      </c>
      <c r="H58" s="21">
        <f t="shared" si="11"/>
        <v>2.1191817396656059</v>
      </c>
      <c r="I58" s="21">
        <f t="shared" si="11"/>
        <v>2.3922972200738819</v>
      </c>
      <c r="J58" s="21">
        <f t="shared" si="11"/>
        <v>2.6948099019844407</v>
      </c>
      <c r="K58" s="21">
        <f t="shared" si="11"/>
        <v>3.0290611871390611</v>
      </c>
      <c r="L58" s="21">
        <f t="shared" si="11"/>
        <v>3.3974707540248499</v>
      </c>
    </row>
    <row r="59" spans="1:12" s="47" customFormat="1" ht="19.95" customHeight="1">
      <c r="A59" s="22"/>
      <c r="B59" s="22"/>
      <c r="C59" s="46"/>
      <c r="D59" s="46"/>
      <c r="E59" s="46"/>
      <c r="F59" s="46"/>
      <c r="G59" s="46"/>
      <c r="H59" s="46"/>
      <c r="I59" s="46"/>
      <c r="J59" s="46"/>
      <c r="K59" s="46"/>
      <c r="L59" s="46"/>
    </row>
    <row r="60" spans="1:12" s="17" customFormat="1" ht="19.95" customHeight="1">
      <c r="A60" s="24" t="s">
        <v>57</v>
      </c>
      <c r="B60" s="24"/>
      <c r="C60" s="35">
        <f>C49/C58</f>
        <v>876.52526571113685</v>
      </c>
      <c r="D60" s="35">
        <f t="shared" ref="D60:K60" si="12">D49/D58</f>
        <v>1487.5144870777208</v>
      </c>
      <c r="E60" s="35">
        <f t="shared" si="12"/>
        <v>2258.8438123041319</v>
      </c>
      <c r="F60" s="35">
        <f t="shared" si="12"/>
        <v>3224.3991220036951</v>
      </c>
      <c r="G60" s="35">
        <f t="shared" si="12"/>
        <v>4424.5564514381513</v>
      </c>
      <c r="H60" s="35">
        <f t="shared" si="12"/>
        <v>4079.4164826713363</v>
      </c>
      <c r="I60" s="35">
        <f t="shared" si="12"/>
        <v>3739.8448201661554</v>
      </c>
      <c r="J60" s="35">
        <f t="shared" si="12"/>
        <v>3338.3271032112693</v>
      </c>
      <c r="K60" s="35">
        <f t="shared" si="12"/>
        <v>2834.9443216504874</v>
      </c>
      <c r="L60" s="35">
        <f>(L49+L50)/L58</f>
        <v>40402.461251571971</v>
      </c>
    </row>
    <row r="61" spans="1:12" s="50" customFormat="1" ht="19.95" customHeight="1" thickBot="1">
      <c r="A61" s="48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</row>
    <row r="62" spans="1:12" s="17" customFormat="1" ht="19.95" customHeight="1">
      <c r="A62" s="7" t="s">
        <v>58</v>
      </c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</row>
    <row r="63" spans="1:12" s="17" customFormat="1" ht="19.95" customHeight="1">
      <c r="A63" s="24" t="s">
        <v>59</v>
      </c>
      <c r="B63" s="24"/>
      <c r="C63" s="52">
        <f>SUM(C60:L60)</f>
        <v>66666.833117806062</v>
      </c>
      <c r="D63" s="15"/>
      <c r="E63" s="15"/>
      <c r="F63" s="15"/>
      <c r="G63" s="15"/>
      <c r="H63" s="15"/>
      <c r="I63" s="15"/>
      <c r="J63" s="15"/>
      <c r="K63" s="15"/>
      <c r="L63" s="15"/>
    </row>
    <row r="64" spans="1:12" s="17" customFormat="1" ht="19.95" customHeight="1" thickBot="1">
      <c r="A64" s="22" t="s">
        <v>5</v>
      </c>
      <c r="B64" s="22"/>
      <c r="C64" s="72">
        <f>D9</f>
        <v>850</v>
      </c>
      <c r="D64" s="15"/>
      <c r="E64" s="15"/>
      <c r="F64" s="15"/>
      <c r="G64" s="15"/>
      <c r="H64" s="15"/>
      <c r="I64" s="15"/>
      <c r="J64" s="15"/>
      <c r="K64" s="15"/>
      <c r="L64" s="15"/>
    </row>
    <row r="65" spans="1:12" s="17" customFormat="1" ht="19.95" customHeight="1" thickBot="1">
      <c r="A65" s="53" t="s">
        <v>60</v>
      </c>
      <c r="B65" s="54"/>
      <c r="C65" s="55">
        <f>D8</f>
        <v>0</v>
      </c>
      <c r="D65" s="15"/>
      <c r="E65" s="15"/>
      <c r="F65" s="15"/>
      <c r="G65" s="15"/>
      <c r="H65" s="15"/>
      <c r="I65" s="15"/>
      <c r="J65" s="15"/>
      <c r="K65" s="15"/>
      <c r="L65" s="15"/>
    </row>
    <row r="66" spans="1:12" s="17" customFormat="1" ht="19.95" customHeight="1" thickBot="1">
      <c r="A66" s="53" t="s">
        <v>61</v>
      </c>
      <c r="B66" s="54"/>
      <c r="C66" s="56">
        <f>C63+C64-C65</f>
        <v>67516.833117806062</v>
      </c>
      <c r="D66" s="15"/>
      <c r="E66" s="15"/>
      <c r="F66" s="15"/>
      <c r="G66" s="15"/>
      <c r="H66" s="15"/>
      <c r="I66" s="15"/>
      <c r="J66" s="15"/>
      <c r="K66" s="15"/>
      <c r="L66" s="15"/>
    </row>
    <row r="67" spans="1:12" s="17" customFormat="1" ht="19.95" customHeight="1" thickBot="1">
      <c r="A67" s="53" t="s">
        <v>6</v>
      </c>
      <c r="B67" s="54"/>
      <c r="C67" s="73">
        <f>D10</f>
        <v>1500</v>
      </c>
      <c r="D67" s="15"/>
      <c r="E67" s="15"/>
      <c r="F67" s="15"/>
      <c r="G67" s="15"/>
      <c r="H67" s="15"/>
      <c r="I67" s="15"/>
      <c r="J67" s="15"/>
      <c r="K67" s="15"/>
      <c r="L67" s="15"/>
    </row>
    <row r="68" spans="1:12" s="17" customFormat="1" ht="19.95" customHeight="1" thickBot="1">
      <c r="A68" s="38" t="s">
        <v>62</v>
      </c>
      <c r="B68" s="57"/>
      <c r="C68" s="58">
        <f>(C66-C67)/D11</f>
        <v>44.011222078537372</v>
      </c>
      <c r="D68" s="15"/>
      <c r="E68" s="15"/>
      <c r="F68" s="15"/>
      <c r="G68" s="15"/>
      <c r="H68" s="15"/>
      <c r="I68" s="15"/>
      <c r="J68" s="15"/>
      <c r="K68" s="15"/>
      <c r="L68" s="15"/>
    </row>
    <row r="69" spans="1:12" s="17" customFormat="1" ht="19.95" customHeight="1">
      <c r="A69" s="22"/>
      <c r="B69" s="22"/>
      <c r="C69" s="59"/>
      <c r="D69" s="15"/>
      <c r="E69" s="15"/>
      <c r="F69" s="15"/>
      <c r="G69" s="15"/>
      <c r="H69" s="15"/>
      <c r="I69" s="15"/>
      <c r="J69" s="15"/>
      <c r="K69" s="15"/>
      <c r="L69" s="15"/>
    </row>
    <row r="70" spans="1:12" s="17" customFormat="1" ht="13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</row>
    <row r="71" spans="1:12" s="3" customFormat="1" ht="19.95" customHeight="1">
      <c r="A71" s="30"/>
      <c r="B71" s="30"/>
      <c r="C71" s="30">
        <v>1995</v>
      </c>
      <c r="D71" s="30">
        <v>1996</v>
      </c>
      <c r="E71" s="30">
        <v>1997</v>
      </c>
      <c r="F71" s="30">
        <v>1998</v>
      </c>
      <c r="G71" s="30">
        <v>1999</v>
      </c>
      <c r="H71" s="30">
        <v>2000</v>
      </c>
      <c r="I71" s="30">
        <v>2001</v>
      </c>
      <c r="J71" s="30">
        <v>2002</v>
      </c>
      <c r="K71" s="30">
        <v>2003</v>
      </c>
      <c r="L71" s="30">
        <v>2004</v>
      </c>
    </row>
    <row r="72" spans="1:12" s="60" customFormat="1" ht="19.95" customHeight="1">
      <c r="A72" s="24" t="s">
        <v>63</v>
      </c>
      <c r="B72" s="24"/>
      <c r="C72" s="35">
        <f>C63</f>
        <v>66666.833117806062</v>
      </c>
      <c r="D72" s="35">
        <f>SUM(D60:L60)*C58</f>
        <v>74589.761527312614</v>
      </c>
      <c r="E72" s="35">
        <f>SUM(E60:L60)*D58</f>
        <v>82654.107279590695</v>
      </c>
      <c r="F72" s="35">
        <f>SUM(F60:L60)*E58</f>
        <v>90417.258791835935</v>
      </c>
      <c r="G72" s="35">
        <f>SUM(G60:$L$60)*F58</f>
        <v>97183.134180484005</v>
      </c>
      <c r="H72" s="35">
        <f>SUM(H60:$L$60)*G58</f>
        <v>101893.25436126372</v>
      </c>
      <c r="I72" s="35">
        <f>SUM(I60:$L$60)*H58</f>
        <v>106627.85305152416</v>
      </c>
      <c r="J72" s="35">
        <f>SUM(J60:$L$60)*I58</f>
        <v>111422.99580473667</v>
      </c>
      <c r="K72" s="35">
        <f>SUM(K60:$L$60)*J58</f>
        <v>116516.58867483713</v>
      </c>
      <c r="L72" s="35">
        <f>SUM(L60:$L$60)*K58</f>
        <v>122381.52724202651</v>
      </c>
    </row>
    <row r="73" spans="1:12" s="17" customFormat="1" ht="19.95" customHeight="1">
      <c r="A73" s="18" t="s">
        <v>64</v>
      </c>
      <c r="B73" s="20"/>
      <c r="C73" s="61">
        <f>C56*C72</f>
        <v>0</v>
      </c>
      <c r="D73" s="35">
        <f t="shared" ref="D73:L73" si="13">D56*D72</f>
        <v>0</v>
      </c>
      <c r="E73" s="35">
        <f t="shared" si="13"/>
        <v>0</v>
      </c>
      <c r="F73" s="35">
        <f t="shared" si="13"/>
        <v>0</v>
      </c>
      <c r="G73" s="35">
        <f t="shared" si="13"/>
        <v>0</v>
      </c>
      <c r="H73" s="35">
        <f t="shared" si="13"/>
        <v>1018.9325436126381</v>
      </c>
      <c r="I73" s="35">
        <f t="shared" si="13"/>
        <v>2132.5570610304849</v>
      </c>
      <c r="J73" s="35">
        <f t="shared" si="13"/>
        <v>3342.6898741421028</v>
      </c>
      <c r="K73" s="35">
        <f t="shared" si="13"/>
        <v>4660.663546993489</v>
      </c>
      <c r="L73" s="35">
        <f t="shared" si="13"/>
        <v>6119.0763621013311</v>
      </c>
    </row>
  </sheetData>
  <printOptions gridLines="1" gridLinesSet="0"/>
  <pageMargins left="0.75" right="0.75" top="1" bottom="1" header="0.5" footer="0.5"/>
  <pageSetup paperSize="0" scale="75" orientation="landscape" horizontalDpi="4294967292" verticalDpi="4294967292"/>
  <headerFooter alignWithMargins="0">
    <oddFooter>Page &amp;P</oddFooter>
  </headerFooter>
  <rowBreaks count="2" manualBreakCount="2">
    <brk id="27" max="65535" man="1"/>
    <brk id="44" max="65535" man="1"/>
  </rowBreak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Iweze</dc:creator>
  <cp:lastModifiedBy>Dennis Iweze</cp:lastModifiedBy>
  <dcterms:created xsi:type="dcterms:W3CDTF">2023-12-23T17:35:13Z</dcterms:created>
  <dcterms:modified xsi:type="dcterms:W3CDTF">2023-12-23T17:35:13Z</dcterms:modified>
</cp:coreProperties>
</file>