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13_ncr:40009_{05282799-752E-48E3-9169-426DF9BE07CC}" xr6:coauthVersionLast="47" xr6:coauthVersionMax="47" xr10:uidLastSave="{00000000-0000-0000-0000-000000000000}"/>
  <bookViews>
    <workbookView xWindow="-108" yWindow="-108" windowWidth="23256" windowHeight="12456"/>
  </bookViews>
  <sheets>
    <sheet name="ddm2st.xl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45" i="1"/>
  <c r="C49" i="1" s="1"/>
  <c r="C46" i="1"/>
  <c r="C50" i="1"/>
  <c r="E59" i="1"/>
  <c r="B76" i="1" s="1"/>
  <c r="B72" i="1"/>
  <c r="B73" i="1"/>
  <c r="B77" i="1"/>
  <c r="D80" i="1"/>
  <c r="D82" i="1"/>
  <c r="D86" i="1"/>
  <c r="E86" i="1"/>
  <c r="D87" i="1"/>
  <c r="E87" i="1"/>
  <c r="E88" i="1"/>
  <c r="E91" i="1"/>
  <c r="C94" i="1"/>
  <c r="D94" i="1"/>
  <c r="E94" i="1"/>
  <c r="F94" i="1"/>
  <c r="G94" i="1"/>
  <c r="H94" i="1"/>
  <c r="H95" i="1" s="1"/>
  <c r="I94" i="1"/>
  <c r="I95" i="1" s="1"/>
  <c r="J94" i="1"/>
  <c r="J95" i="1" s="1"/>
  <c r="K94" i="1"/>
  <c r="K95" i="1" s="1"/>
  <c r="L94" i="1"/>
  <c r="L95" i="1" s="1"/>
  <c r="E97" i="1"/>
  <c r="E99" i="1"/>
  <c r="E108" i="1" s="1"/>
  <c r="E109" i="1" l="1"/>
  <c r="D88" i="1"/>
  <c r="D89" i="1" s="1"/>
  <c r="B74" i="1"/>
  <c r="C53" i="1"/>
  <c r="B75" i="1" l="1"/>
  <c r="E63" i="1"/>
  <c r="E98" i="1" s="1"/>
  <c r="G122" i="1" s="1"/>
  <c r="C95" i="1"/>
  <c r="D95" i="1" s="1"/>
  <c r="E95" i="1" s="1"/>
  <c r="F95" i="1" s="1"/>
  <c r="G95" i="1" s="1"/>
  <c r="G124" i="1"/>
  <c r="G117" i="1"/>
  <c r="G121" i="1"/>
  <c r="G125" i="1"/>
  <c r="G115" i="1"/>
  <c r="G123" i="1"/>
  <c r="G120" i="1"/>
  <c r="C116" i="1"/>
  <c r="G118" i="1"/>
  <c r="G119" i="1"/>
  <c r="G116" i="1"/>
  <c r="E100" i="1"/>
  <c r="F103" i="1" s="1"/>
  <c r="F102" i="1"/>
  <c r="C117" i="1" l="1"/>
  <c r="D116" i="1"/>
  <c r="F104" i="1"/>
  <c r="E110" i="1" s="1"/>
  <c r="E111" i="1" s="1"/>
  <c r="D117" i="1" l="1"/>
  <c r="C118" i="1"/>
  <c r="C119" i="1" l="1"/>
  <c r="D118" i="1"/>
  <c r="D119" i="1" l="1"/>
  <c r="C120" i="1"/>
  <c r="D120" i="1" l="1"/>
  <c r="C121" i="1"/>
  <c r="D121" i="1" l="1"/>
  <c r="C122" i="1"/>
  <c r="C123" i="1" l="1"/>
  <c r="D122" i="1"/>
  <c r="C124" i="1" l="1"/>
  <c r="D123" i="1"/>
  <c r="C125" i="1" l="1"/>
  <c r="D124" i="1"/>
  <c r="D125" i="1" l="1"/>
  <c r="C126" i="1"/>
  <c r="D126" i="1" l="1"/>
  <c r="C127" i="1"/>
  <c r="C128" i="1" l="1"/>
  <c r="D127" i="1"/>
  <c r="C129" i="1" l="1"/>
  <c r="D128" i="1"/>
  <c r="D129" i="1" l="1"/>
  <c r="C130" i="1"/>
  <c r="C131" i="1" l="1"/>
  <c r="D130" i="1"/>
  <c r="D131" i="1" l="1"/>
  <c r="C132" i="1"/>
  <c r="D132" i="1" s="1"/>
</calcChain>
</file>

<file path=xl/sharedStrings.xml><?xml version="1.0" encoding="utf-8"?>
<sst xmlns="http://schemas.openxmlformats.org/spreadsheetml/2006/main" count="126" uniqueCount="89">
  <si>
    <t>Two-Stage Dividend Discount Model</t>
  </si>
  <si>
    <t>This model is designed to value the equity in a firm, with two stages of growth, an initial</t>
  </si>
  <si>
    <t>period of higher growth and a subsequent period of stable growth.</t>
  </si>
  <si>
    <t>Assumptions</t>
  </si>
  <si>
    <t>1. The firm is expected to grow at a higher growth rate in the first period.</t>
  </si>
  <si>
    <t>2. The growth rate will drop at the end of the first period to the stable growth rate.</t>
  </si>
  <si>
    <t>3. The dividend payout ratio is consistent with the expected growth rate.</t>
  </si>
  <si>
    <t>The user has to define the following inputs:</t>
  </si>
  <si>
    <t>1. Length of high growth period</t>
  </si>
  <si>
    <t>2. Expected growth rate in earnings during the high growth period.</t>
  </si>
  <si>
    <t>3. Dividend payout ratio during the high growth period.</t>
  </si>
  <si>
    <t>4. Expected growth rate in earnings during the stable growth period.</t>
  </si>
  <si>
    <t>5. Expected payout ratio during the stable growth period.</t>
  </si>
  <si>
    <t>6. Current Earnings per share</t>
  </si>
  <si>
    <t>7. Inputs for the Cost of Equity</t>
  </si>
  <si>
    <t>Inputs to the model</t>
  </si>
  <si>
    <t>Current Earnings per share =</t>
  </si>
  <si>
    <t>(in currency)</t>
  </si>
  <si>
    <t>Current Dividends per share =</t>
  </si>
  <si>
    <t>Enter length of extraordinary growth period =</t>
  </si>
  <si>
    <t>(in years)</t>
  </si>
  <si>
    <t>Do you want to enter cost of equity directly?</t>
  </si>
  <si>
    <t>No</t>
  </si>
  <si>
    <t>(Yes or No)</t>
  </si>
  <si>
    <t>If yes, enter the cost of equity =</t>
  </si>
  <si>
    <t>(in percent)</t>
  </si>
  <si>
    <t>If no, enter the inputs to the cost of equity</t>
  </si>
  <si>
    <t>Beta of the stock =</t>
  </si>
  <si>
    <t>Riskfree rate=</t>
  </si>
  <si>
    <t>Risk Premium=</t>
  </si>
  <si>
    <t>Do you want to use the historical growth rate?</t>
  </si>
  <si>
    <t>Yes</t>
  </si>
  <si>
    <t>If yes, enter EPS from five years ago =</t>
  </si>
  <si>
    <t>Do you have an outside estimate of growth ?</t>
  </si>
  <si>
    <t>If yes, enter the estimated growth:</t>
  </si>
  <si>
    <t>Do you want to calculate the growth rate from fundamentals?</t>
  </si>
  <si>
    <t>If yes, enter the following inputs:</t>
  </si>
  <si>
    <t>Net Income Currently =</t>
  </si>
  <si>
    <t>Book Value of Equity =</t>
  </si>
  <si>
    <t>Tax Rate on Income=</t>
  </si>
  <si>
    <t>The following will be the inputs to the fundamental growth formulation:</t>
  </si>
  <si>
    <t>ROE =</t>
  </si>
  <si>
    <t>Retention =</t>
  </si>
  <si>
    <t>Do you want to change any of these inputs for the high growth period?</t>
  </si>
  <si>
    <t>If yes, specify the values for these inputs (Please enter all variables)</t>
  </si>
  <si>
    <t>Do you want to change any of these inputs for the stable growth period?</t>
  </si>
  <si>
    <t xml:space="preserve">If yes, specify the values for these inputs </t>
  </si>
  <si>
    <t>Specify weights to be assigned to each of these growth rates:</t>
  </si>
  <si>
    <t>Historical Growth Rate  =</t>
  </si>
  <si>
    <t>Outside Prediction of Growth =</t>
  </si>
  <si>
    <t>Fundamental Estimate of Growth =</t>
  </si>
  <si>
    <t>Enter growth rate in stable growth period?</t>
  </si>
  <si>
    <t>Stable payout ratio from fundamentals is =</t>
  </si>
  <si>
    <t>Do you want to change this payout ratio?</t>
  </si>
  <si>
    <t>If yes, enter the stable payout ratio=</t>
  </si>
  <si>
    <t>Will the beta to change in the stable period?</t>
  </si>
  <si>
    <t>If yes, enter the beta for stable period =</t>
  </si>
  <si>
    <t>Before reviewing the output, check to see if any warnings appear on the next page.</t>
  </si>
  <si>
    <t>Warnings</t>
  </si>
  <si>
    <t>Output from the program</t>
  </si>
  <si>
    <t>Cost of Equity =</t>
  </si>
  <si>
    <t>Current Earnings per share=</t>
  </si>
  <si>
    <t>Growth Rate in Earnings per share</t>
  </si>
  <si>
    <t>Growth Rate</t>
  </si>
  <si>
    <t>Weight</t>
  </si>
  <si>
    <t>Historical Growth =</t>
  </si>
  <si>
    <t>Outside Estimates =</t>
  </si>
  <si>
    <t>Fundamental Growth =</t>
  </si>
  <si>
    <t>Weighted Average</t>
  </si>
  <si>
    <t>Payout Ratio for high growth phase=</t>
  </si>
  <si>
    <t>The dividends for the high growth phase are shown below (upto 10 years)</t>
  </si>
  <si>
    <t>Dividends</t>
  </si>
  <si>
    <t>Growth Rate in Stable Phase =</t>
  </si>
  <si>
    <t>Payout Ratio in Stable Phase =</t>
  </si>
  <si>
    <t>Cost of Equity in Stable Phase =</t>
  </si>
  <si>
    <t>Price at the end of growth phase =</t>
  </si>
  <si>
    <t>Present Value of dividends in high growth phase =</t>
  </si>
  <si>
    <t>Present Value of Terminal Price =</t>
  </si>
  <si>
    <t>Value of the stock =</t>
  </si>
  <si>
    <t>Estimating the value of growth</t>
  </si>
  <si>
    <t>Value of assets in place =</t>
  </si>
  <si>
    <t>Value of stable growth =</t>
  </si>
  <si>
    <t>Value of extraordinary growth =</t>
  </si>
  <si>
    <t>Extraordinary</t>
  </si>
  <si>
    <t>Growth period</t>
  </si>
  <si>
    <t>Value</t>
  </si>
  <si>
    <t>: First phase</t>
  </si>
  <si>
    <t>Growth</t>
  </si>
  <si>
    <t>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</si>
</sst>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$&quot;#,##0.00_);[Red]\(&quot;$&quot;#,##0.00\)"/>
  </numFmts>
  <fonts count="12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sz val="18"/>
      <name val="Tms Rmn"/>
    </font>
    <font>
      <sz val="14"/>
      <name val="Tms Rmn"/>
    </font>
    <font>
      <b/>
      <sz val="12"/>
      <name val="Tms Rmn"/>
    </font>
    <font>
      <sz val="12"/>
      <name val="Tms Rmn"/>
    </font>
    <font>
      <b/>
      <sz val="14"/>
      <name val="Tms Rmn"/>
    </font>
    <font>
      <i/>
      <sz val="12"/>
      <name val="Tms Rmn"/>
    </font>
    <font>
      <sz val="14"/>
      <name val="Geneva"/>
    </font>
    <font>
      <b/>
      <i/>
      <sz val="14"/>
      <name val="Tms Rmn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10" fontId="7" fillId="0" borderId="7" xfId="0" applyNumberFormat="1" applyFont="1" applyBorder="1" applyAlignment="1">
      <alignment horizontal="center"/>
    </xf>
    <xf numFmtId="167" fontId="7" fillId="0" borderId="7" xfId="1" applyFont="1" applyBorder="1" applyAlignment="1">
      <alignment horizontal="center"/>
    </xf>
    <xf numFmtId="10" fontId="7" fillId="0" borderId="7" xfId="2" applyNumberFormat="1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10" fontId="9" fillId="0" borderId="7" xfId="0" applyNumberFormat="1" applyFont="1" applyBorder="1" applyAlignment="1">
      <alignment horizontal="center"/>
    </xf>
    <xf numFmtId="167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167" fontId="6" fillId="0" borderId="7" xfId="1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8" fillId="0" borderId="0" xfId="0" applyFont="1"/>
    <xf numFmtId="167" fontId="0" fillId="2" borderId="7" xfId="1" applyFont="1" applyFill="1" applyBorder="1" applyAlignment="1">
      <alignment horizontal="center"/>
    </xf>
    <xf numFmtId="167" fontId="7" fillId="2" borderId="7" xfId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 applyProtection="1">
      <alignment horizontal="center"/>
    </xf>
    <xf numFmtId="10" fontId="7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0" fontId="7" fillId="2" borderId="7" xfId="2" applyNumberFormat="1" applyFont="1" applyFill="1" applyBorder="1" applyAlignment="1">
      <alignment horizontal="center"/>
    </xf>
    <xf numFmtId="167" fontId="7" fillId="2" borderId="7" xfId="0" applyNumberFormat="1" applyFont="1" applyFill="1" applyBorder="1" applyAlignment="1">
      <alignment horizontal="center"/>
    </xf>
    <xf numFmtId="167" fontId="7" fillId="2" borderId="7" xfId="1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10" fontId="7" fillId="0" borderId="7" xfId="2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tabSelected="1" workbookViewId="0">
      <selection activeCell="L7" sqref="L7"/>
    </sheetView>
  </sheetViews>
  <sheetFormatPr defaultColWidth="12.44140625" defaultRowHeight="13.2"/>
  <cols>
    <col min="1" max="1" width="2.6640625" customWidth="1"/>
  </cols>
  <sheetData>
    <row r="1" spans="2:9" ht="19.95" customHeight="1">
      <c r="B1" s="3" t="s">
        <v>0</v>
      </c>
      <c r="C1" s="4"/>
      <c r="D1" s="4"/>
      <c r="E1" s="4"/>
      <c r="F1" s="4"/>
      <c r="G1" s="4"/>
      <c r="H1" s="4"/>
      <c r="I1" s="4"/>
    </row>
    <row r="2" spans="2:9" ht="19.95" customHeight="1" thickBot="1">
      <c r="B2" s="3"/>
      <c r="C2" s="4"/>
      <c r="D2" s="4"/>
      <c r="E2" s="4"/>
      <c r="F2" s="4"/>
      <c r="G2" s="4"/>
      <c r="H2" s="4"/>
      <c r="I2" s="4"/>
    </row>
    <row r="3" spans="2:9" ht="19.95" customHeight="1">
      <c r="B3" s="5" t="s">
        <v>1</v>
      </c>
      <c r="C3" s="6"/>
      <c r="D3" s="7"/>
      <c r="E3" s="7"/>
      <c r="F3" s="7"/>
      <c r="G3" s="7"/>
      <c r="H3" s="8"/>
      <c r="I3" s="4"/>
    </row>
    <row r="4" spans="2:9" ht="19.95" customHeight="1" thickBot="1">
      <c r="B4" s="5" t="s">
        <v>2</v>
      </c>
      <c r="C4" s="9"/>
      <c r="D4" s="10"/>
      <c r="E4" s="10"/>
      <c r="F4" s="10"/>
      <c r="G4" s="10"/>
      <c r="H4" s="11"/>
      <c r="I4" s="4"/>
    </row>
    <row r="5" spans="2:9" ht="19.95" customHeight="1"/>
    <row r="6" spans="2:9" ht="19.95" customHeight="1">
      <c r="B6" s="12" t="s">
        <v>3</v>
      </c>
    </row>
    <row r="7" spans="2:9" ht="19.95" customHeight="1">
      <c r="B7" s="13" t="s">
        <v>4</v>
      </c>
    </row>
    <row r="8" spans="2:9" ht="19.95" customHeight="1">
      <c r="B8" s="13" t="s">
        <v>5</v>
      </c>
    </row>
    <row r="9" spans="2:9" ht="19.95" customHeight="1">
      <c r="B9" s="13" t="s">
        <v>6</v>
      </c>
    </row>
    <row r="10" spans="2:9" ht="19.95" customHeight="1"/>
    <row r="11" spans="2:9" ht="19.95" customHeight="1">
      <c r="B11" s="12" t="s">
        <v>7</v>
      </c>
    </row>
    <row r="12" spans="2:9" ht="19.95" customHeight="1">
      <c r="B12" s="13" t="s">
        <v>8</v>
      </c>
    </row>
    <row r="13" spans="2:9" ht="19.95" customHeight="1">
      <c r="B13" s="13" t="s">
        <v>9</v>
      </c>
    </row>
    <row r="14" spans="2:9" ht="19.95" customHeight="1">
      <c r="B14" s="13" t="s">
        <v>10</v>
      </c>
    </row>
    <row r="15" spans="2:9" ht="19.95" customHeight="1">
      <c r="B15" s="13" t="s">
        <v>11</v>
      </c>
    </row>
    <row r="16" spans="2:9" ht="19.95" customHeight="1">
      <c r="B16" s="13" t="s">
        <v>12</v>
      </c>
    </row>
    <row r="17" spans="1:9" ht="19.95" customHeight="1">
      <c r="B17" s="13" t="s">
        <v>13</v>
      </c>
    </row>
    <row r="18" spans="1:9" ht="19.95" customHeight="1">
      <c r="B18" s="13" t="s">
        <v>14</v>
      </c>
    </row>
    <row r="19" spans="1:9" ht="19.95" customHeight="1"/>
    <row r="20" spans="1:9" ht="19.95" customHeight="1">
      <c r="A20" s="4"/>
      <c r="B20" s="30" t="s">
        <v>15</v>
      </c>
      <c r="C20" s="4"/>
      <c r="D20" s="4"/>
      <c r="E20" s="4"/>
      <c r="F20" s="4"/>
      <c r="G20" s="4"/>
      <c r="H20" s="4"/>
      <c r="I20" s="4"/>
    </row>
    <row r="21" spans="1:9" ht="19.95" customHeight="1">
      <c r="B21" s="13" t="s">
        <v>16</v>
      </c>
      <c r="D21" s="35">
        <v>5.49</v>
      </c>
      <c r="E21" s="15" t="s">
        <v>17</v>
      </c>
    </row>
    <row r="22" spans="1:9" ht="19.95" customHeight="1">
      <c r="B22" s="13" t="s">
        <v>18</v>
      </c>
      <c r="C22" s="13"/>
      <c r="D22" s="36">
        <f>0.42*5.49</f>
        <v>2.3058000000000001</v>
      </c>
      <c r="E22" s="15" t="s">
        <v>17</v>
      </c>
      <c r="F22" s="13"/>
      <c r="G22" s="13"/>
    </row>
    <row r="23" spans="1:9" ht="19.95" customHeight="1">
      <c r="B23" s="13"/>
      <c r="C23" s="13"/>
      <c r="D23" s="13"/>
      <c r="E23" s="15"/>
      <c r="F23" s="13"/>
      <c r="G23" s="13"/>
    </row>
    <row r="24" spans="1:9" ht="19.95" customHeight="1">
      <c r="B24" s="13" t="s">
        <v>19</v>
      </c>
      <c r="C24" s="13"/>
      <c r="D24" s="13"/>
      <c r="E24" s="37">
        <v>5</v>
      </c>
      <c r="F24" s="15" t="s">
        <v>20</v>
      </c>
      <c r="G24" s="13"/>
    </row>
    <row r="25" spans="1:9" ht="19.95" customHeight="1">
      <c r="B25" s="13"/>
      <c r="C25" s="13"/>
      <c r="D25" s="13"/>
      <c r="E25" s="13"/>
      <c r="F25" s="13"/>
      <c r="G25" s="13"/>
    </row>
    <row r="26" spans="1:9" ht="19.95" customHeight="1">
      <c r="B26" s="13" t="s">
        <v>21</v>
      </c>
      <c r="C26" s="13"/>
      <c r="D26" s="13"/>
      <c r="E26" s="38" t="s">
        <v>22</v>
      </c>
      <c r="F26" s="15" t="s">
        <v>23</v>
      </c>
      <c r="G26" s="13"/>
    </row>
    <row r="27" spans="1:9" ht="19.95" customHeight="1">
      <c r="B27" s="13" t="s">
        <v>24</v>
      </c>
      <c r="C27" s="13"/>
      <c r="D27" s="13"/>
      <c r="E27" s="39"/>
      <c r="F27" s="15" t="s">
        <v>25</v>
      </c>
      <c r="G27" s="13"/>
    </row>
    <row r="28" spans="1:9" ht="19.95" customHeight="1">
      <c r="B28" s="14" t="s">
        <v>26</v>
      </c>
      <c r="C28" s="13"/>
      <c r="D28" s="13"/>
      <c r="E28" s="13"/>
      <c r="F28" s="15"/>
      <c r="G28" s="13"/>
    </row>
    <row r="29" spans="1:9" ht="19.95" customHeight="1">
      <c r="B29" s="13" t="s">
        <v>27</v>
      </c>
      <c r="C29" s="13"/>
      <c r="D29" s="40">
        <v>0.95</v>
      </c>
      <c r="E29" s="13"/>
      <c r="F29" s="15"/>
      <c r="G29" s="13"/>
    </row>
    <row r="30" spans="1:9" ht="19.95" customHeight="1">
      <c r="B30" s="13" t="s">
        <v>28</v>
      </c>
      <c r="C30" s="13"/>
      <c r="D30" s="39">
        <v>7.0000000000000007E-2</v>
      </c>
      <c r="E30" s="15" t="s">
        <v>25</v>
      </c>
      <c r="F30" s="15"/>
      <c r="G30" s="13"/>
    </row>
    <row r="31" spans="1:9" ht="19.95" customHeight="1">
      <c r="B31" s="13" t="s">
        <v>29</v>
      </c>
      <c r="C31" s="13"/>
      <c r="D31" s="39">
        <v>5.5E-2</v>
      </c>
      <c r="E31" s="15" t="s">
        <v>25</v>
      </c>
      <c r="F31" s="15"/>
      <c r="G31" s="13"/>
    </row>
    <row r="32" spans="1:9" ht="19.95" customHeight="1">
      <c r="B32" s="13"/>
      <c r="C32" s="13"/>
      <c r="D32" s="13"/>
      <c r="E32" s="13"/>
      <c r="F32" s="15"/>
      <c r="G32" s="13"/>
    </row>
    <row r="33" spans="2:8" ht="19.95" customHeight="1">
      <c r="B33" s="13" t="s">
        <v>30</v>
      </c>
      <c r="C33" s="13"/>
      <c r="D33" s="13"/>
      <c r="E33" s="41" t="s">
        <v>31</v>
      </c>
      <c r="F33" s="15" t="s">
        <v>23</v>
      </c>
      <c r="G33" s="13"/>
    </row>
    <row r="34" spans="2:8" ht="19.95" customHeight="1">
      <c r="B34" s="13" t="s">
        <v>32</v>
      </c>
      <c r="C34" s="13"/>
      <c r="D34" s="13"/>
      <c r="E34" s="36">
        <v>1.62</v>
      </c>
      <c r="F34" s="15" t="s">
        <v>17</v>
      </c>
      <c r="G34" s="13"/>
    </row>
    <row r="35" spans="2:8" ht="19.95" customHeight="1">
      <c r="B35" s="13"/>
      <c r="C35" s="13"/>
      <c r="D35" s="13"/>
      <c r="E35" s="13"/>
      <c r="F35" s="15"/>
      <c r="G35" s="13"/>
    </row>
    <row r="36" spans="2:8" ht="19.95" customHeight="1">
      <c r="B36" s="13" t="s">
        <v>33</v>
      </c>
      <c r="C36" s="13"/>
      <c r="D36" s="13"/>
      <c r="E36" s="41" t="s">
        <v>31</v>
      </c>
      <c r="F36" s="15" t="s">
        <v>23</v>
      </c>
      <c r="G36" s="13"/>
    </row>
    <row r="37" spans="2:8" ht="19.95" customHeight="1">
      <c r="B37" s="13" t="s">
        <v>34</v>
      </c>
      <c r="C37" s="13"/>
      <c r="D37" s="13"/>
      <c r="E37" s="42">
        <v>0.17</v>
      </c>
      <c r="F37" s="15" t="s">
        <v>25</v>
      </c>
      <c r="G37" s="13"/>
    </row>
    <row r="38" spans="2:8" ht="19.95" customHeight="1">
      <c r="B38" s="13"/>
      <c r="C38" s="13"/>
      <c r="D38" s="13"/>
      <c r="E38" s="13"/>
      <c r="F38" s="15"/>
      <c r="G38" s="13"/>
    </row>
    <row r="39" spans="2:8" ht="19.95" customHeight="1">
      <c r="B39" s="13" t="s">
        <v>35</v>
      </c>
      <c r="C39" s="13"/>
      <c r="D39" s="13"/>
      <c r="E39" s="13"/>
      <c r="F39" s="41" t="s">
        <v>31</v>
      </c>
      <c r="G39" s="15" t="s">
        <v>23</v>
      </c>
    </row>
    <row r="40" spans="2:8" ht="19.95" customHeight="1">
      <c r="B40" s="14" t="s">
        <v>36</v>
      </c>
      <c r="C40" s="13"/>
      <c r="D40" s="13"/>
      <c r="E40" s="13"/>
      <c r="F40" s="15"/>
      <c r="G40" s="13"/>
    </row>
    <row r="41" spans="2:8" ht="19.95" customHeight="1">
      <c r="B41" s="13" t="s">
        <v>37</v>
      </c>
      <c r="C41" s="13"/>
      <c r="D41" s="43">
        <v>2122</v>
      </c>
      <c r="E41" s="13" t="s">
        <v>88</v>
      </c>
      <c r="F41" s="15" t="s">
        <v>17</v>
      </c>
      <c r="G41" s="13"/>
    </row>
    <row r="42" spans="2:8" ht="19.95" customHeight="1">
      <c r="B42" s="13" t="s">
        <v>38</v>
      </c>
      <c r="C42" s="13"/>
      <c r="D42" s="43">
        <v>6237</v>
      </c>
      <c r="E42" s="44">
        <v>6155</v>
      </c>
      <c r="F42" s="15" t="s">
        <v>17</v>
      </c>
      <c r="G42" s="13"/>
    </row>
    <row r="43" spans="2:8" ht="19.95" customHeight="1">
      <c r="B43" s="13" t="s">
        <v>39</v>
      </c>
      <c r="C43" s="13"/>
      <c r="D43" s="42">
        <v>0.4</v>
      </c>
      <c r="E43" s="13"/>
      <c r="F43" s="15" t="s">
        <v>25</v>
      </c>
      <c r="G43" s="13"/>
    </row>
    <row r="44" spans="2:8" ht="19.95" customHeight="1">
      <c r="B44" s="14" t="s">
        <v>40</v>
      </c>
      <c r="C44" s="13"/>
      <c r="D44" s="13"/>
      <c r="E44" s="13"/>
      <c r="F44" s="15"/>
      <c r="G44" s="13"/>
    </row>
    <row r="45" spans="2:8" ht="19.95" customHeight="1">
      <c r="B45" s="13" t="s">
        <v>41</v>
      </c>
      <c r="C45" s="17">
        <f>D41/E42</f>
        <v>0.34476035743298133</v>
      </c>
      <c r="D45" s="15" t="s">
        <v>25</v>
      </c>
      <c r="G45" s="13"/>
    </row>
    <row r="46" spans="2:8" ht="19.95" customHeight="1">
      <c r="B46" s="13" t="s">
        <v>42</v>
      </c>
      <c r="C46" s="17">
        <f>1-D22/D21</f>
        <v>0.58000000000000007</v>
      </c>
      <c r="D46" s="15" t="s">
        <v>25</v>
      </c>
      <c r="G46" s="13"/>
    </row>
    <row r="47" spans="2:8" ht="19.95" customHeight="1">
      <c r="B47" s="13" t="s">
        <v>43</v>
      </c>
      <c r="C47" s="13"/>
      <c r="D47" s="13"/>
      <c r="E47" s="13"/>
      <c r="F47" s="15"/>
      <c r="G47" s="41" t="s">
        <v>31</v>
      </c>
      <c r="H47" s="15" t="s">
        <v>23</v>
      </c>
    </row>
    <row r="48" spans="2:8" ht="19.95" customHeight="1">
      <c r="B48" s="14" t="s">
        <v>44</v>
      </c>
      <c r="C48" s="13"/>
      <c r="D48" s="13"/>
      <c r="E48" s="13"/>
      <c r="F48" s="15"/>
      <c r="G48" s="13"/>
    </row>
    <row r="49" spans="2:8" ht="19.95" customHeight="1">
      <c r="B49" s="13" t="s">
        <v>41</v>
      </c>
      <c r="C49" s="39">
        <f>C45</f>
        <v>0.34476035743298133</v>
      </c>
      <c r="D49" s="15" t="s">
        <v>25</v>
      </c>
      <c r="E49" s="13"/>
    </row>
    <row r="50" spans="2:8" ht="19.95" customHeight="1">
      <c r="B50" s="13" t="s">
        <v>42</v>
      </c>
      <c r="C50" s="39">
        <f>C46</f>
        <v>0.58000000000000007</v>
      </c>
      <c r="D50" s="15" t="s">
        <v>25</v>
      </c>
      <c r="E50" s="13"/>
    </row>
    <row r="51" spans="2:8" ht="19.95" customHeight="1">
      <c r="B51" s="13" t="s">
        <v>45</v>
      </c>
      <c r="C51" s="15"/>
      <c r="D51" s="13"/>
      <c r="E51" s="15"/>
      <c r="F51" s="15"/>
      <c r="G51" s="41" t="s">
        <v>31</v>
      </c>
      <c r="H51" s="15" t="s">
        <v>23</v>
      </c>
    </row>
    <row r="52" spans="2:8" ht="19.95" customHeight="1">
      <c r="B52" s="14" t="s">
        <v>46</v>
      </c>
      <c r="C52" s="15"/>
      <c r="D52" s="13"/>
      <c r="E52" s="15"/>
      <c r="F52" s="15"/>
      <c r="G52" s="13"/>
    </row>
    <row r="53" spans="2:8" ht="19.95" customHeight="1">
      <c r="B53" s="13" t="s">
        <v>41</v>
      </c>
      <c r="C53" s="39">
        <f>C49</f>
        <v>0.34476035743298133</v>
      </c>
      <c r="D53" s="15" t="s">
        <v>25</v>
      </c>
      <c r="E53" s="13"/>
    </row>
    <row r="54" spans="2:8" ht="19.95" customHeight="1">
      <c r="B54" s="13"/>
      <c r="C54" s="21"/>
      <c r="D54" s="15"/>
      <c r="E54" s="13"/>
    </row>
    <row r="55" spans="2:8" ht="19.95" customHeight="1">
      <c r="B55" s="13"/>
      <c r="C55" s="13"/>
      <c r="D55" s="13"/>
      <c r="E55" s="15"/>
      <c r="F55" s="15"/>
      <c r="G55" s="13"/>
    </row>
    <row r="56" spans="2:8" ht="19.95" customHeight="1">
      <c r="B56" s="14" t="s">
        <v>47</v>
      </c>
      <c r="C56" s="13"/>
      <c r="D56" s="13"/>
      <c r="E56" s="15"/>
      <c r="F56" s="15"/>
      <c r="G56" s="13"/>
    </row>
    <row r="57" spans="2:8" ht="19.95" customHeight="1">
      <c r="B57" s="13" t="s">
        <v>48</v>
      </c>
      <c r="C57" s="13"/>
      <c r="D57" s="13"/>
      <c r="E57" s="39">
        <v>0.4</v>
      </c>
      <c r="F57" s="15" t="s">
        <v>25</v>
      </c>
      <c r="G57" s="13"/>
    </row>
    <row r="58" spans="2:8" ht="19.95" customHeight="1">
      <c r="B58" s="13" t="s">
        <v>49</v>
      </c>
      <c r="C58" s="13"/>
      <c r="D58" s="13"/>
      <c r="E58" s="39">
        <v>0.4</v>
      </c>
      <c r="F58" s="15" t="s">
        <v>25</v>
      </c>
      <c r="G58" s="13"/>
    </row>
    <row r="59" spans="2:8" ht="19.95" customHeight="1">
      <c r="B59" s="13" t="s">
        <v>50</v>
      </c>
      <c r="C59" s="13"/>
      <c r="D59" s="13"/>
      <c r="E59" s="39">
        <f>1-E57-E58</f>
        <v>0.19999999999999996</v>
      </c>
      <c r="F59" s="15" t="s">
        <v>25</v>
      </c>
      <c r="G59" s="13"/>
    </row>
    <row r="60" spans="2:8" ht="19.95" customHeight="1">
      <c r="B60" s="13"/>
      <c r="C60" s="13"/>
      <c r="D60" s="13"/>
      <c r="E60" s="45"/>
      <c r="F60" s="13"/>
      <c r="G60" s="13"/>
    </row>
    <row r="61" spans="2:8" ht="19.95" customHeight="1">
      <c r="B61" s="13" t="s">
        <v>51</v>
      </c>
      <c r="C61" s="13"/>
      <c r="D61" s="13"/>
      <c r="E61" s="39">
        <v>0.08</v>
      </c>
      <c r="F61" s="15" t="s">
        <v>25</v>
      </c>
      <c r="G61" s="13"/>
    </row>
    <row r="62" spans="2:8" ht="19.95" customHeight="1">
      <c r="B62" s="13"/>
      <c r="C62" s="13"/>
      <c r="D62" s="13"/>
      <c r="E62" s="46"/>
      <c r="F62" s="15"/>
      <c r="G62" s="13"/>
    </row>
    <row r="63" spans="2:8" ht="19.95" customHeight="1">
      <c r="B63" s="13" t="s">
        <v>52</v>
      </c>
      <c r="C63" s="13"/>
      <c r="D63" s="13"/>
      <c r="E63" s="47">
        <f>1-E61/C53</f>
        <v>0.76795475966069748</v>
      </c>
      <c r="F63" s="15" t="s">
        <v>25</v>
      </c>
      <c r="G63" s="13"/>
    </row>
    <row r="64" spans="2:8" ht="19.95" customHeight="1">
      <c r="B64" s="13" t="s">
        <v>53</v>
      </c>
      <c r="C64" s="13"/>
      <c r="D64" s="13"/>
      <c r="E64" s="41" t="s">
        <v>22</v>
      </c>
      <c r="F64" s="15" t="s">
        <v>23</v>
      </c>
      <c r="G64" s="13"/>
    </row>
    <row r="65" spans="1:9" ht="19.95" customHeight="1">
      <c r="B65" s="13" t="s">
        <v>54</v>
      </c>
      <c r="C65" s="13"/>
      <c r="D65" s="13"/>
      <c r="E65" s="39"/>
      <c r="F65" s="15" t="s">
        <v>25</v>
      </c>
      <c r="G65" s="13"/>
    </row>
    <row r="66" spans="1:9" ht="19.95" customHeight="1">
      <c r="B66" s="13"/>
      <c r="C66" s="13"/>
      <c r="D66" s="13"/>
      <c r="E66" s="48"/>
      <c r="F66" s="15"/>
      <c r="G66" s="13"/>
    </row>
    <row r="67" spans="1:9" ht="19.95" customHeight="1">
      <c r="B67" s="13" t="s">
        <v>55</v>
      </c>
      <c r="C67" s="13"/>
      <c r="D67" s="13"/>
      <c r="E67" s="41" t="s">
        <v>22</v>
      </c>
      <c r="F67" s="15" t="s">
        <v>23</v>
      </c>
      <c r="G67" s="13"/>
    </row>
    <row r="68" spans="1:9" ht="19.95" customHeight="1">
      <c r="B68" s="13" t="s">
        <v>56</v>
      </c>
      <c r="C68" s="13"/>
      <c r="D68" s="13"/>
      <c r="E68" s="41"/>
      <c r="F68" s="15"/>
      <c r="G68" s="13"/>
    </row>
    <row r="69" spans="1:9" ht="19.95" customHeight="1">
      <c r="B69" s="13"/>
      <c r="C69" s="13"/>
      <c r="D69" s="13"/>
      <c r="E69" s="15"/>
      <c r="F69" s="15"/>
      <c r="G69" s="13"/>
    </row>
    <row r="70" spans="1:9" ht="19.95" customHeight="1">
      <c r="B70" s="14" t="s">
        <v>57</v>
      </c>
      <c r="C70" s="13"/>
      <c r="D70" s="13"/>
      <c r="E70" s="15"/>
      <c r="F70" s="15"/>
      <c r="G70" s="13"/>
    </row>
    <row r="71" spans="1:9" ht="19.95" customHeight="1">
      <c r="A71" s="4"/>
      <c r="B71" s="33" t="s">
        <v>58</v>
      </c>
      <c r="C71" s="31"/>
      <c r="D71" s="31"/>
      <c r="E71" s="31"/>
      <c r="F71" s="31"/>
      <c r="G71" s="31"/>
      <c r="H71" s="4"/>
      <c r="I71" s="4"/>
    </row>
    <row r="72" spans="1:9" ht="19.95" customHeight="1">
      <c r="B72" s="14" t="str">
        <f>IF(D21&lt;0,"You have entered a negative current EPS. This model will not work", " ")</f>
        <v xml:space="preserve"> </v>
      </c>
      <c r="C72" s="13"/>
      <c r="D72" s="13"/>
      <c r="E72" s="15"/>
      <c r="F72" s="15"/>
      <c r="G72" s="13"/>
    </row>
    <row r="73" spans="1:9" ht="19.95" customHeight="1">
      <c r="B73" s="14" t="str">
        <f>IF(E34&lt;0,"Historical Growth Rate cannot be calculated with negative EPS. Weight it at zero"," ")</f>
        <v xml:space="preserve"> </v>
      </c>
      <c r="C73" s="13"/>
      <c r="D73" s="13"/>
      <c r="E73" s="15"/>
      <c r="F73" s="15"/>
      <c r="G73" s="13"/>
    </row>
    <row r="74" spans="1:9" ht="19.95" customHeight="1">
      <c r="B74" s="14" t="str">
        <f>IF(C49&lt;E61, "The ROC for the high growth period is very low. You will get a very low fundamental growth rate", " ")</f>
        <v xml:space="preserve"> </v>
      </c>
      <c r="C74" s="13"/>
      <c r="D74" s="13"/>
      <c r="E74" s="15"/>
      <c r="F74" s="15"/>
      <c r="G74" s="13"/>
    </row>
    <row r="75" spans="1:9" ht="19.95" customHeight="1">
      <c r="B75" s="14" t="str">
        <f>IF(C53&gt;E61," ","The ROC for the stable period is less (or =) than the stable growth rate. You cannot afford any dividends.")</f>
        <v xml:space="preserve"> </v>
      </c>
      <c r="C75" s="13"/>
      <c r="D75" s="13"/>
      <c r="E75" s="15"/>
      <c r="F75" s="15"/>
      <c r="G75" s="13"/>
    </row>
    <row r="76" spans="1:9" ht="19.95" customHeight="1">
      <c r="B76" s="14" t="str">
        <f>IF(E57+E58+E59=1," ","Your weights on the growth rates do not add up to one")</f>
        <v xml:space="preserve"> </v>
      </c>
      <c r="C76" s="13"/>
      <c r="D76" s="13"/>
      <c r="E76" s="15"/>
      <c r="F76" s="15"/>
      <c r="G76" s="13"/>
    </row>
    <row r="77" spans="1:9" ht="19.95" customHeight="1">
      <c r="B77" s="14" t="str">
        <f>IF(E61&gt;10%,"This is a high growth rate for a stable period", " ")</f>
        <v xml:space="preserve"> </v>
      </c>
      <c r="C77" s="13"/>
      <c r="D77" s="13"/>
      <c r="E77" s="15"/>
      <c r="F77" s="15"/>
      <c r="G77" s="13"/>
    </row>
    <row r="78" spans="1:9" ht="19.95" customHeight="1">
      <c r="B78" s="14"/>
      <c r="C78" s="13"/>
      <c r="D78" s="13"/>
      <c r="E78" s="15"/>
      <c r="F78" s="15"/>
      <c r="G78" s="13"/>
    </row>
    <row r="79" spans="1:9" ht="19.95" customHeight="1">
      <c r="A79" s="32"/>
      <c r="B79" s="30" t="s">
        <v>59</v>
      </c>
      <c r="C79" s="5"/>
      <c r="D79" s="5"/>
      <c r="E79" s="5"/>
      <c r="F79" s="5"/>
      <c r="G79" s="5"/>
      <c r="H79" s="32"/>
      <c r="I79" s="32"/>
    </row>
    <row r="80" spans="1:9" ht="19.95" customHeight="1">
      <c r="B80" s="13" t="s">
        <v>60</v>
      </c>
      <c r="C80" s="13"/>
      <c r="D80" s="17">
        <f>IF(E26="Yes",E27,D30+D29*D31)</f>
        <v>0.12225</v>
      </c>
      <c r="E80" s="15"/>
      <c r="F80" s="15"/>
      <c r="G80" s="13"/>
    </row>
    <row r="81" spans="2:12" ht="19.95" customHeight="1">
      <c r="B81" s="13"/>
      <c r="C81" s="13"/>
      <c r="D81" s="13"/>
      <c r="E81" s="15"/>
      <c r="F81" s="15"/>
      <c r="G81" s="13"/>
    </row>
    <row r="82" spans="2:12" ht="19.95" customHeight="1">
      <c r="B82" s="13" t="s">
        <v>61</v>
      </c>
      <c r="C82" s="13"/>
      <c r="D82" s="20">
        <f>D21</f>
        <v>5.49</v>
      </c>
      <c r="E82" s="15"/>
      <c r="F82" s="15"/>
      <c r="G82" s="13"/>
    </row>
    <row r="83" spans="2:12" ht="19.95" customHeight="1">
      <c r="B83" s="13"/>
      <c r="C83" s="13"/>
      <c r="D83" s="13"/>
      <c r="E83" s="15"/>
      <c r="F83" s="15"/>
      <c r="G83" s="13"/>
    </row>
    <row r="84" spans="2:12" ht="19.95" customHeight="1">
      <c r="B84" s="13" t="s">
        <v>62</v>
      </c>
      <c r="C84" s="13"/>
      <c r="D84" s="13"/>
      <c r="E84" s="15"/>
      <c r="F84" s="15"/>
      <c r="G84" s="13"/>
    </row>
    <row r="85" spans="2:12" s="24" customFormat="1" ht="19.95" customHeight="1">
      <c r="B85" s="14"/>
      <c r="C85" s="14"/>
      <c r="D85" s="14" t="s">
        <v>63</v>
      </c>
      <c r="E85" s="23" t="s">
        <v>64</v>
      </c>
      <c r="F85" s="23"/>
      <c r="G85" s="14"/>
    </row>
    <row r="86" spans="2:12" ht="19.95" customHeight="1">
      <c r="B86" s="13" t="s">
        <v>65</v>
      </c>
      <c r="C86" s="13"/>
      <c r="D86" s="17">
        <f>(D21/E34)^(0.2)-1</f>
        <v>0.27647250902529952</v>
      </c>
      <c r="E86" s="17">
        <f>E57</f>
        <v>0.4</v>
      </c>
      <c r="F86" s="15"/>
      <c r="G86" s="13"/>
    </row>
    <row r="87" spans="2:12" ht="19.95" customHeight="1">
      <c r="B87" s="13" t="s">
        <v>66</v>
      </c>
      <c r="C87" s="13"/>
      <c r="D87" s="17">
        <f>E37</f>
        <v>0.17</v>
      </c>
      <c r="E87" s="17">
        <f>E58</f>
        <v>0.4</v>
      </c>
      <c r="F87" s="15"/>
      <c r="G87" s="13"/>
    </row>
    <row r="88" spans="2:12" ht="19.95" customHeight="1">
      <c r="B88" s="13" t="s">
        <v>67</v>
      </c>
      <c r="C88" s="13"/>
      <c r="D88" s="17">
        <f>IF(G47="No",C46*C45,C50*C49)</f>
        <v>0.1999610073111292</v>
      </c>
      <c r="E88" s="17">
        <f>E59</f>
        <v>0.19999999999999996</v>
      </c>
      <c r="F88" s="15"/>
      <c r="G88" s="13"/>
    </row>
    <row r="89" spans="2:12" s="24" customFormat="1" ht="19.95" customHeight="1">
      <c r="B89" s="14" t="s">
        <v>68</v>
      </c>
      <c r="C89" s="14"/>
      <c r="D89" s="25">
        <f>D86*E86+D87*E87+D88*E88</f>
        <v>0.21858120507234563</v>
      </c>
      <c r="E89" s="23"/>
      <c r="F89" s="23"/>
      <c r="G89" s="14"/>
    </row>
    <row r="90" spans="2:12" ht="19.95" customHeight="1">
      <c r="B90" s="13"/>
      <c r="C90" s="13"/>
      <c r="D90" s="13"/>
      <c r="E90" s="15"/>
      <c r="F90" s="15"/>
      <c r="G90" s="13"/>
    </row>
    <row r="91" spans="2:12" ht="19.95" customHeight="1">
      <c r="B91" s="13" t="s">
        <v>69</v>
      </c>
      <c r="C91" s="13"/>
      <c r="D91" s="13"/>
      <c r="E91" s="17">
        <f>1-C50</f>
        <v>0.41999999999999993</v>
      </c>
      <c r="F91" s="15"/>
      <c r="G91" s="13"/>
    </row>
    <row r="92" spans="2:12" ht="19.95" customHeight="1">
      <c r="B92" s="13"/>
      <c r="C92" s="13"/>
      <c r="D92" s="13"/>
      <c r="E92" s="22"/>
      <c r="F92" s="15"/>
      <c r="G92" s="13"/>
    </row>
    <row r="93" spans="2:12" ht="19.95" customHeight="1">
      <c r="B93" s="14" t="s">
        <v>70</v>
      </c>
      <c r="C93" s="13"/>
      <c r="D93" s="13"/>
      <c r="E93" s="22"/>
      <c r="F93" s="15"/>
      <c r="G93" s="13"/>
    </row>
    <row r="94" spans="2:12" ht="19.95" customHeight="1">
      <c r="B94" s="27"/>
      <c r="C94" s="27">
        <f>IF(E24=0," ",1)</f>
        <v>1</v>
      </c>
      <c r="D94" s="27">
        <f>IF(E24=1," ",2)</f>
        <v>2</v>
      </c>
      <c r="E94" s="28">
        <f>IF(E24&lt;3," ",3)</f>
        <v>3</v>
      </c>
      <c r="F94" s="27">
        <f>IF(E24&lt;4," ",4)</f>
        <v>4</v>
      </c>
      <c r="G94" s="27">
        <f>IF(E24&lt;5," ",5)</f>
        <v>5</v>
      </c>
      <c r="H94" s="2" t="str">
        <f>IF($E$24&lt;6," ",6)</f>
        <v xml:space="preserve"> </v>
      </c>
      <c r="I94" s="2" t="str">
        <f>IF($E$24&lt;7," ",7)</f>
        <v xml:space="preserve"> </v>
      </c>
      <c r="J94" s="2" t="str">
        <f>IF($E$24&lt;8," ",8)</f>
        <v xml:space="preserve"> </v>
      </c>
      <c r="K94" s="2" t="str">
        <f>IF($E$24&lt;9," ",9)</f>
        <v xml:space="preserve"> </v>
      </c>
      <c r="L94" s="2" t="str">
        <f>IF($E$24&lt;10," ",10)</f>
        <v xml:space="preserve"> </v>
      </c>
    </row>
    <row r="95" spans="2:12" ht="19.95" customHeight="1">
      <c r="B95" s="27" t="s">
        <v>71</v>
      </c>
      <c r="C95" s="26">
        <f>D82*(1+D89)*E91</f>
        <v>2.8098045426558143</v>
      </c>
      <c r="D95" s="26">
        <f t="shared" ref="D95:L95" si="0">IF($E$24&lt;D94," ",C95*(1+$D$89))</f>
        <v>3.4239750056072733</v>
      </c>
      <c r="E95" s="26">
        <f t="shared" si="0"/>
        <v>4.1723915884705027</v>
      </c>
      <c r="F95" s="26">
        <f t="shared" si="0"/>
        <v>5.0843979699121036</v>
      </c>
      <c r="G95" s="26">
        <f t="shared" si="0"/>
        <v>6.1957518052428791</v>
      </c>
      <c r="H95" s="26" t="str">
        <f t="shared" si="0"/>
        <v xml:space="preserve"> </v>
      </c>
      <c r="I95" s="26" t="str">
        <f t="shared" si="0"/>
        <v xml:space="preserve"> </v>
      </c>
      <c r="J95" s="26" t="str">
        <f t="shared" si="0"/>
        <v xml:space="preserve"> </v>
      </c>
      <c r="K95" s="26" t="str">
        <f t="shared" si="0"/>
        <v xml:space="preserve"> </v>
      </c>
      <c r="L95" s="26" t="str">
        <f t="shared" si="0"/>
        <v xml:space="preserve"> </v>
      </c>
    </row>
    <row r="96" spans="2:12" ht="19.95" customHeight="1">
      <c r="B96" s="13"/>
      <c r="C96" s="13"/>
      <c r="D96" s="13"/>
      <c r="E96" s="15"/>
      <c r="F96" s="15"/>
      <c r="G96" s="13"/>
    </row>
    <row r="97" spans="2:7" ht="19.95" customHeight="1">
      <c r="B97" s="13" t="s">
        <v>72</v>
      </c>
      <c r="C97" s="13"/>
      <c r="D97" s="13"/>
      <c r="E97" s="17">
        <f>E61</f>
        <v>0.08</v>
      </c>
      <c r="F97" s="15"/>
      <c r="G97" s="13"/>
    </row>
    <row r="98" spans="2:7" ht="19.95" customHeight="1">
      <c r="B98" s="13" t="s">
        <v>73</v>
      </c>
      <c r="C98" s="13"/>
      <c r="D98" s="13"/>
      <c r="E98" s="17">
        <f>IF(E64="No",E63,E65)</f>
        <v>0.76795475966069748</v>
      </c>
      <c r="F98" s="15"/>
      <c r="G98" s="13"/>
    </row>
    <row r="99" spans="2:7" ht="19.95" customHeight="1">
      <c r="B99" s="13" t="s">
        <v>74</v>
      </c>
      <c r="C99" s="13"/>
      <c r="D99" s="13"/>
      <c r="E99" s="17">
        <f>IF(E67="No",D30+D29*D31,D30+E68*D31)</f>
        <v>0.12225</v>
      </c>
      <c r="F99" s="15"/>
      <c r="G99" s="13"/>
    </row>
    <row r="100" spans="2:7" s="1" customFormat="1" ht="19.95" customHeight="1">
      <c r="B100" s="12" t="s">
        <v>75</v>
      </c>
      <c r="C100" s="12"/>
      <c r="D100" s="12"/>
      <c r="E100" s="29">
        <f>D82*(1+D89)^E24*(1+E97)*E98/(E99-E97)</f>
        <v>289.58589211573059</v>
      </c>
      <c r="F100" s="27"/>
      <c r="G100" s="12"/>
    </row>
    <row r="101" spans="2:7" ht="19.95" customHeight="1">
      <c r="B101" s="13"/>
      <c r="C101" s="13"/>
      <c r="D101" s="13"/>
      <c r="E101" s="15"/>
      <c r="F101" s="15"/>
      <c r="G101" s="13"/>
    </row>
    <row r="102" spans="2:7" ht="19.95" customHeight="1">
      <c r="B102" s="12" t="s">
        <v>76</v>
      </c>
      <c r="C102" s="12"/>
      <c r="D102" s="12"/>
      <c r="E102" s="27"/>
      <c r="F102" s="29">
        <f>D82*E91*(1+D89)*(1-(1+D89)^E24/(1+D80)^E24)/(D80-D89)</f>
        <v>14.860287167483582</v>
      </c>
      <c r="G102" s="13"/>
    </row>
    <row r="103" spans="2:7" ht="19.95" customHeight="1">
      <c r="B103" s="12" t="s">
        <v>77</v>
      </c>
      <c r="C103" s="12"/>
      <c r="D103" s="12"/>
      <c r="E103" s="27"/>
      <c r="F103" s="29">
        <f>E100/(1+D80)^E24</f>
        <v>162.67818935180949</v>
      </c>
      <c r="G103" s="13"/>
    </row>
    <row r="104" spans="2:7" ht="19.95" customHeight="1">
      <c r="B104" s="12" t="s">
        <v>78</v>
      </c>
      <c r="C104" s="12"/>
      <c r="D104" s="12"/>
      <c r="E104" s="27"/>
      <c r="F104" s="29">
        <f>F102+F103</f>
        <v>177.53847651929308</v>
      </c>
      <c r="G104" s="13"/>
    </row>
    <row r="105" spans="2:7" ht="19.95" customHeight="1">
      <c r="B105" s="13"/>
      <c r="C105" s="13"/>
      <c r="D105" s="13"/>
      <c r="E105" s="15"/>
      <c r="F105" s="15"/>
      <c r="G105" s="13"/>
    </row>
    <row r="106" spans="2:7" ht="19.95" customHeight="1">
      <c r="B106" s="13"/>
      <c r="C106" s="13"/>
      <c r="D106" s="13"/>
      <c r="E106" s="15"/>
      <c r="F106" s="15"/>
      <c r="G106" s="13"/>
    </row>
    <row r="107" spans="2:7" ht="19.95" customHeight="1">
      <c r="B107" s="34" t="s">
        <v>79</v>
      </c>
      <c r="C107" s="13"/>
      <c r="D107" s="13"/>
      <c r="E107" s="15"/>
      <c r="F107" s="15"/>
      <c r="G107" s="13"/>
    </row>
    <row r="108" spans="2:7" ht="19.95" customHeight="1">
      <c r="B108" s="13" t="s">
        <v>80</v>
      </c>
      <c r="C108" s="13"/>
      <c r="D108" s="13"/>
      <c r="E108" s="18">
        <f>D22/E99</f>
        <v>18.861349693251533</v>
      </c>
      <c r="F108" s="15"/>
      <c r="G108" s="13"/>
    </row>
    <row r="109" spans="2:7" ht="19.95" customHeight="1">
      <c r="B109" s="13" t="s">
        <v>81</v>
      </c>
      <c r="C109" s="13"/>
      <c r="D109" s="13"/>
      <c r="E109" s="18">
        <f>D22*(1+E97)/(E99-E97)-E108</f>
        <v>40.079810070062088</v>
      </c>
      <c r="F109" s="15"/>
      <c r="G109" s="13"/>
    </row>
    <row r="110" spans="2:7" ht="19.95" customHeight="1">
      <c r="B110" s="13" t="s">
        <v>82</v>
      </c>
      <c r="C110" s="13"/>
      <c r="D110" s="13"/>
      <c r="E110" s="18">
        <f>F104-E109-E108</f>
        <v>118.59731675597948</v>
      </c>
      <c r="F110" s="15"/>
      <c r="G110" s="13"/>
    </row>
    <row r="111" spans="2:7" ht="19.95" customHeight="1">
      <c r="B111" s="13" t="s">
        <v>78</v>
      </c>
      <c r="C111" s="13"/>
      <c r="D111" s="13"/>
      <c r="E111" s="18">
        <f>SUM(E108:E110)</f>
        <v>177.53847651929311</v>
      </c>
      <c r="F111" s="15"/>
      <c r="G111" s="13"/>
    </row>
    <row r="114" spans="3:7" ht="15.6">
      <c r="C114" s="15" t="s">
        <v>63</v>
      </c>
      <c r="D114" s="15" t="s">
        <v>83</v>
      </c>
      <c r="E114" s="15"/>
      <c r="F114" s="15" t="s">
        <v>84</v>
      </c>
      <c r="G114" s="15" t="s">
        <v>85</v>
      </c>
    </row>
    <row r="115" spans="3:7" ht="15.6">
      <c r="C115" s="15" t="s">
        <v>86</v>
      </c>
      <c r="D115" s="15" t="s">
        <v>87</v>
      </c>
      <c r="E115" s="15"/>
      <c r="F115" s="16">
        <v>0</v>
      </c>
      <c r="G115" s="18">
        <f t="shared" ref="G115:G125" si="1">$D$22*(1+$D$89)*(1-(1+$D$89)^F115/(1+$D$80)^F115)/($D$80-$D$89)+$D$21*(1+$D$89)^F115*(1+$E$97)*$E$98/(($E$99-$E$97)*(1+$D$80)^F115)-$E$109-$E$108</f>
        <v>48.83061209420611</v>
      </c>
    </row>
    <row r="116" spans="3:7" ht="15.6">
      <c r="C116" s="19">
        <f>D89-0.1</f>
        <v>0.11858120507234562</v>
      </c>
      <c r="D116" s="18">
        <f t="shared" ref="D116:D132" si="2">$D$22*(1+C116)*(1-(1+C116)^$E$24/(1+$D$80)^$E$24)/($D$80-C116)+$D$21*(1+C116)^$E$24*(1+$E$97)*$E$98/(($E$99-$E$97)*(1+$D$80)^$E$24)-$E$109-$E$108</f>
        <v>58.496907927679665</v>
      </c>
      <c r="E116" s="15"/>
      <c r="F116" s="16">
        <v>1</v>
      </c>
      <c r="G116" s="18">
        <f t="shared" si="1"/>
        <v>60.585202602980978</v>
      </c>
    </row>
    <row r="117" spans="3:7" ht="15.6">
      <c r="C117" s="19">
        <f t="shared" ref="C117:C132" si="3">C116+0.01</f>
        <v>0.12858120507234563</v>
      </c>
      <c r="D117" s="18">
        <f t="shared" si="2"/>
        <v>63.630691460082311</v>
      </c>
      <c r="E117" s="15"/>
      <c r="F117" s="16">
        <v>2</v>
      </c>
      <c r="G117" s="18">
        <f t="shared" si="1"/>
        <v>73.348778515045893</v>
      </c>
    </row>
    <row r="118" spans="3:7" ht="15.6">
      <c r="C118" s="19">
        <f t="shared" si="3"/>
        <v>0.13858120507234564</v>
      </c>
      <c r="D118" s="18">
        <f t="shared" si="2"/>
        <v>68.945953156021062</v>
      </c>
      <c r="E118" s="15"/>
      <c r="F118" s="16">
        <v>3</v>
      </c>
      <c r="G118" s="18">
        <f t="shared" si="1"/>
        <v>87.207948678517852</v>
      </c>
    </row>
    <row r="119" spans="3:7" ht="15.6">
      <c r="C119" s="19">
        <f t="shared" si="3"/>
        <v>0.14858120507234565</v>
      </c>
      <c r="D119" s="18">
        <f t="shared" si="2"/>
        <v>74.447510126860152</v>
      </c>
      <c r="E119" s="15"/>
      <c r="F119" s="16">
        <v>4</v>
      </c>
      <c r="G119" s="18">
        <f t="shared" si="1"/>
        <v>102.25675623397018</v>
      </c>
    </row>
    <row r="120" spans="3:7" ht="15.6">
      <c r="C120" s="19">
        <f t="shared" si="3"/>
        <v>0.15858120507234566</v>
      </c>
      <c r="D120" s="18">
        <f t="shared" si="2"/>
        <v>80.140264321037392</v>
      </c>
      <c r="E120" s="15"/>
      <c r="F120" s="16">
        <v>5</v>
      </c>
      <c r="G120" s="18">
        <f t="shared" si="1"/>
        <v>118.59731675597948</v>
      </c>
    </row>
    <row r="121" spans="3:7" ht="15.6">
      <c r="C121" s="19">
        <f t="shared" si="3"/>
        <v>0.16858120507234567</v>
      </c>
      <c r="D121" s="18">
        <f t="shared" si="2"/>
        <v>86.029203266111153</v>
      </c>
      <c r="E121" s="15"/>
      <c r="F121" s="16">
        <v>6</v>
      </c>
      <c r="G121" s="18">
        <f t="shared" si="1"/>
        <v>136.34051117118787</v>
      </c>
    </row>
    <row r="122" spans="3:7" ht="15.6">
      <c r="C122" s="19">
        <f t="shared" si="3"/>
        <v>0.17858120507234568</v>
      </c>
      <c r="D122" s="18">
        <f t="shared" si="2"/>
        <v>92.119400810808656</v>
      </c>
      <c r="E122" s="15"/>
      <c r="F122" s="16">
        <v>7</v>
      </c>
      <c r="G122" s="18">
        <f t="shared" si="1"/>
        <v>155.60673815476341</v>
      </c>
    </row>
    <row r="123" spans="3:7" ht="15.6">
      <c r="C123" s="19">
        <f t="shared" si="3"/>
        <v>0.18858120507234569</v>
      </c>
      <c r="D123" s="18">
        <f t="shared" si="2"/>
        <v>98.416017867074032</v>
      </c>
      <c r="E123" s="15"/>
      <c r="F123" s="16">
        <v>8</v>
      </c>
      <c r="G123" s="18">
        <f t="shared" si="1"/>
        <v>176.52673111073827</v>
      </c>
    </row>
    <row r="124" spans="3:7" ht="15.6">
      <c r="C124" s="19">
        <f t="shared" si="3"/>
        <v>0.1985812050723457</v>
      </c>
      <c r="D124" s="18">
        <f t="shared" si="2"/>
        <v>104.92430315211621</v>
      </c>
      <c r="E124" s="15"/>
      <c r="F124" s="16">
        <v>9</v>
      </c>
      <c r="G124" s="18">
        <f t="shared" si="1"/>
        <v>199.24244527994907</v>
      </c>
    </row>
    <row r="125" spans="3:7" ht="15.6">
      <c r="C125" s="19">
        <f t="shared" si="3"/>
        <v>0.2085812050723457</v>
      </c>
      <c r="D125" s="18">
        <f t="shared" si="2"/>
        <v>111.64959393045709</v>
      </c>
      <c r="E125" s="15"/>
      <c r="F125" s="16">
        <v>10</v>
      </c>
      <c r="G125" s="18">
        <f t="shared" si="1"/>
        <v>223.90802099516034</v>
      </c>
    </row>
    <row r="126" spans="3:7" ht="15.6">
      <c r="C126" s="19">
        <f t="shared" si="3"/>
        <v>0.21858120507234571</v>
      </c>
      <c r="D126" s="18">
        <f t="shared" si="2"/>
        <v>118.59731675597945</v>
      </c>
      <c r="E126" s="15"/>
      <c r="F126" s="15"/>
      <c r="G126" s="15"/>
    </row>
    <row r="127" spans="3:7" ht="15.6">
      <c r="C127" s="19">
        <f t="shared" si="3"/>
        <v>0.22858120507234572</v>
      </c>
      <c r="D127" s="18">
        <f t="shared" si="2"/>
        <v>125.7729882139752</v>
      </c>
      <c r="E127" s="15"/>
      <c r="F127" s="15"/>
      <c r="G127" s="15"/>
    </row>
    <row r="128" spans="3:7" ht="15.6">
      <c r="C128" s="19">
        <f t="shared" si="3"/>
        <v>0.23858120507234573</v>
      </c>
      <c r="D128" s="18">
        <f t="shared" si="2"/>
        <v>133.18221566319312</v>
      </c>
      <c r="E128" s="15"/>
      <c r="F128" s="15"/>
      <c r="G128" s="15"/>
    </row>
    <row r="129" spans="3:7" ht="15.6">
      <c r="C129" s="19">
        <f t="shared" si="3"/>
        <v>0.24858120507234574</v>
      </c>
      <c r="D129" s="18">
        <f t="shared" si="2"/>
        <v>140.83069797788698</v>
      </c>
      <c r="E129" s="15"/>
      <c r="F129" s="15"/>
      <c r="G129" s="15"/>
    </row>
    <row r="130" spans="3:7" ht="15.6">
      <c r="C130" s="19">
        <f t="shared" si="3"/>
        <v>0.25858120507234572</v>
      </c>
      <c r="D130" s="18">
        <f t="shared" si="2"/>
        <v>148.72422628986388</v>
      </c>
      <c r="E130" s="15"/>
      <c r="F130" s="15"/>
      <c r="G130" s="15"/>
    </row>
    <row r="131" spans="3:7" ht="15.6">
      <c r="C131" s="19">
        <f t="shared" si="3"/>
        <v>0.26858120507234573</v>
      </c>
      <c r="D131" s="18">
        <f t="shared" si="2"/>
        <v>156.86868473053161</v>
      </c>
      <c r="E131" s="15"/>
      <c r="F131" s="15"/>
      <c r="G131" s="15"/>
    </row>
    <row r="132" spans="3:7" ht="15.6">
      <c r="C132" s="19">
        <f t="shared" si="3"/>
        <v>0.27858120507234574</v>
      </c>
      <c r="D132" s="18">
        <f t="shared" si="2"/>
        <v>165.27005117294746</v>
      </c>
      <c r="E132" s="15"/>
      <c r="F132" s="15"/>
      <c r="G132" s="15"/>
    </row>
  </sheetData>
  <printOptions gridLinesSet="0"/>
  <pageMargins left="0.75" right="0.75" top="1" bottom="1" header="0.5" footer="0.5"/>
  <pageSetup orientation="portrait" horizontalDpi="0" verticalDpi="0" copies="0"/>
  <headerFooter alignWithMargins="0">
    <oddHeader>&amp;C Two-Stage Dividend Discount Model</oddHeader>
    <oddFooter>Page &amp;p</oddFooter>
  </headerFooter>
  <rowBreaks count="4" manualBreakCount="4">
    <brk id="19" max="65535" man="1"/>
    <brk id="72" max="65535" man="1"/>
    <brk id="80" max="65535" man="1"/>
    <brk id="10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ddm2st.xls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2023-12-23T16:39:11Z</dcterms:created>
  <dcterms:modified xsi:type="dcterms:W3CDTF">2023-12-23T16:39:14Z</dcterms:modified>
</cp:coreProperties>
</file>