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ate1904="1"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BF354A7E-7E22-46B1-A67E-30360CA16AC3}" xr6:coauthVersionLast="47" xr6:coauthVersionMax="47" xr10:uidLastSave="{00000000-0000-0000-0000-000000000000}"/>
  <bookViews>
    <workbookView xWindow="-108" yWindow="-108" windowWidth="23256" windowHeight="12456"/>
  </bookViews>
  <sheets>
    <sheet name="FCFE2Stage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C57" i="1"/>
  <c r="D113" i="1"/>
  <c r="E125" i="1"/>
  <c r="E53" i="1"/>
  <c r="E57" i="1"/>
  <c r="E96" i="1" s="1"/>
  <c r="E100" i="1" s="1"/>
  <c r="E95" i="1"/>
  <c r="E99" i="1" s="1"/>
  <c r="E101" i="1" s="1"/>
  <c r="C54" i="1"/>
  <c r="C58" i="1" s="1"/>
  <c r="E54" i="1"/>
  <c r="E58" i="1" s="1"/>
  <c r="D107" i="1"/>
  <c r="D105" i="1"/>
  <c r="D108" i="1" s="1"/>
  <c r="E105" i="1"/>
  <c r="D106" i="1"/>
  <c r="E106" i="1"/>
  <c r="E63" i="1"/>
  <c r="E107" i="1" s="1"/>
  <c r="E98" i="1"/>
  <c r="D114" i="1"/>
  <c r="E114" i="1"/>
  <c r="D26" i="1"/>
  <c r="E116" i="1"/>
  <c r="D121" i="1" s="1"/>
  <c r="D93" i="1"/>
  <c r="D112" i="1"/>
  <c r="G120" i="1" s="1"/>
  <c r="E112" i="1"/>
  <c r="E113" i="1"/>
  <c r="D118" i="1"/>
  <c r="E118" i="1"/>
  <c r="F118" i="1"/>
  <c r="G118" i="1"/>
  <c r="H118" i="1"/>
  <c r="H120" i="1" s="1"/>
  <c r="I118" i="1"/>
  <c r="I121" i="1" s="1"/>
  <c r="J118" i="1"/>
  <c r="J121" i="1" s="1"/>
  <c r="K118" i="1"/>
  <c r="K122" i="1" s="1"/>
  <c r="L118" i="1"/>
  <c r="L122" i="1" s="1"/>
  <c r="M118" i="1"/>
  <c r="M123" i="1" s="1"/>
  <c r="E120" i="1"/>
  <c r="F120" i="1"/>
  <c r="I122" i="1"/>
  <c r="J122" i="1"/>
  <c r="I123" i="1"/>
  <c r="J123" i="1"/>
  <c r="K123" i="1"/>
  <c r="L123" i="1"/>
  <c r="E127" i="1"/>
  <c r="N119" i="1" l="1"/>
  <c r="D119" i="1"/>
  <c r="E136" i="1"/>
  <c r="E137" i="1"/>
  <c r="E119" i="1"/>
  <c r="N121" i="1"/>
  <c r="N120" i="1" s="1"/>
  <c r="H121" i="1"/>
  <c r="E121" i="1"/>
  <c r="M119" i="1"/>
  <c r="L120" i="1"/>
  <c r="J119" i="1"/>
  <c r="M121" i="1"/>
  <c r="K120" i="1"/>
  <c r="I119" i="1"/>
  <c r="G121" i="1"/>
  <c r="M120" i="1"/>
  <c r="K119" i="1"/>
  <c r="L121" i="1"/>
  <c r="J120" i="1"/>
  <c r="L119" i="1"/>
  <c r="K121" i="1"/>
  <c r="F121" i="1"/>
  <c r="D120" i="1"/>
  <c r="M122" i="1"/>
  <c r="I120" i="1"/>
  <c r="E122" i="1" l="1"/>
  <c r="E123" i="1" s="1"/>
  <c r="F119" i="1"/>
  <c r="D122" i="1"/>
  <c r="D123" i="1" s="1"/>
  <c r="N122" i="1"/>
  <c r="E126" i="1" s="1"/>
  <c r="E128" i="1" s="1"/>
  <c r="F131" i="1" s="1"/>
  <c r="G119" i="1" l="1"/>
  <c r="F122" i="1"/>
  <c r="F123" i="1" s="1"/>
  <c r="G122" i="1" l="1"/>
  <c r="G123" i="1" s="1"/>
  <c r="F130" i="1" s="1"/>
  <c r="F132" i="1" s="1"/>
  <c r="E138" i="1" s="1"/>
  <c r="E139" i="1" s="1"/>
  <c r="H119" i="1"/>
  <c r="H122" i="1" s="1"/>
  <c r="H123" i="1" s="1"/>
</calcChain>
</file>

<file path=xl/comments1.xml><?xml version="1.0" encoding="utf-8"?>
<comments xmlns="http://schemas.openxmlformats.org/spreadsheetml/2006/main">
  <authors>
    <author>Aswath Damodaran</author>
  </authors>
  <commentList>
    <comment ref="F87" authorId="0" shapeId="0">
      <text>
        <r>
          <rPr>
            <b/>
            <sz val="9"/>
            <color indexed="81"/>
            <rFont val="Geneva"/>
          </rPr>
          <t>Dennis Iweze:</t>
        </r>
        <r>
          <rPr>
            <sz val="9"/>
            <color indexed="81"/>
            <rFont val="Geneva"/>
          </rPr>
          <t xml:space="preserve">
If you are going to assume perpetual growth, you should answer no here and make sure that cap ex is higher than depreciation in your terminal year.</t>
        </r>
      </text>
    </comment>
    <comment ref="F88" authorId="0" shapeId="0">
      <text>
        <r>
          <rPr>
            <b/>
            <sz val="9"/>
            <color indexed="81"/>
            <rFont val="Geneva"/>
          </rPr>
          <t>Dennis Iweze:</t>
        </r>
        <r>
          <rPr>
            <sz val="9"/>
            <color indexed="81"/>
            <rFont val="Geneva"/>
          </rPr>
          <t xml:space="preserve">
Yes or No. If yes, enter the return on equity that your firm will have in perpetuity below. If no, enter cap ex as a percent of depreciation.</t>
        </r>
      </text>
    </comment>
  </commentList>
</comments>
</file>

<file path=xl/sharedStrings.xml><?xml version="1.0" encoding="utf-8"?>
<sst xmlns="http://schemas.openxmlformats.org/spreadsheetml/2006/main" count="174" uniqueCount="121">
  <si>
    <t>If no, enter the following inputs for financing mix,</t>
  </si>
  <si>
    <t>Desired debt financing proportion - Capital Spending</t>
  </si>
  <si>
    <t xml:space="preserve">Desired debt financing proportion - Working Capital </t>
  </si>
  <si>
    <t>Capital spending and Depreciation during Stable Growth</t>
  </si>
  <si>
    <t>Is capital spending to be offset by depreciation in stable period?</t>
  </si>
  <si>
    <t>If no, enter capital expenditures as % of depreciation in stable growth</t>
  </si>
  <si>
    <t>Output from the program</t>
  </si>
  <si>
    <t>Cost of Equity =</t>
  </si>
  <si>
    <t>Proportion of Debt: Capital Spending (DR)=</t>
  </si>
  <si>
    <t>Proportion of Debt: Working Capital (DR)=</t>
  </si>
  <si>
    <t>Current Earnings per share=</t>
  </si>
  <si>
    <t>(Capital Spending - Depreciation)*(1-DR)</t>
  </si>
  <si>
    <t>Do you want to compute your reinvestment rate from fundamentals?</t>
  </si>
  <si>
    <t>Return on equity in stable growth period</t>
  </si>
  <si>
    <t>Current Capital Spending/sh =</t>
  </si>
  <si>
    <t>Current Depreciation / share =</t>
  </si>
  <si>
    <t>Current Revenues/ share =</t>
  </si>
  <si>
    <t>Working Capital/ share =</t>
  </si>
  <si>
    <t>Chg. Working Capital/share =</t>
  </si>
  <si>
    <t>Enter length of extraordinary growth period =</t>
  </si>
  <si>
    <t>(in years)</t>
  </si>
  <si>
    <t>Do you want to enter cost of equity directly?</t>
  </si>
  <si>
    <t>No</t>
  </si>
  <si>
    <t>(Yes or No)</t>
  </si>
  <si>
    <t>If yes, enter the cost of equity =</t>
  </si>
  <si>
    <t>(in percent)</t>
  </si>
  <si>
    <t>If no, enter the inputs to the cost of equity</t>
  </si>
  <si>
    <t>Beta of the stock =</t>
  </si>
  <si>
    <t>Riskfree rate=</t>
  </si>
  <si>
    <t>Risk Premium=</t>
  </si>
  <si>
    <t>Earnings Inputs</t>
  </si>
  <si>
    <t>Do you want to use the historical growth rate?</t>
  </si>
  <si>
    <t>Yes</t>
  </si>
  <si>
    <t>If yes, enter EPS from five years ago =</t>
  </si>
  <si>
    <t>Do you have an outside estimate of growth ?</t>
  </si>
  <si>
    <t>If yes, enter the estimated growth:</t>
  </si>
  <si>
    <t>Do you want to calculate the growth rate from fundamentals?</t>
  </si>
  <si>
    <t>If yes, enter the following inputs:</t>
  </si>
  <si>
    <t>Net Income Currently =</t>
  </si>
  <si>
    <t>Interest Expense Currently =</t>
  </si>
  <si>
    <t>Book Value of Debt =</t>
  </si>
  <si>
    <t>Book Value of Equity =</t>
  </si>
  <si>
    <t>Tax Rate on Income=</t>
  </si>
  <si>
    <t>The following will be the inputs to the fundamental growth formulation:</t>
  </si>
  <si>
    <t>ROC =</t>
  </si>
  <si>
    <t>D/E =</t>
  </si>
  <si>
    <t>Retention =</t>
  </si>
  <si>
    <t>Interest Rate=</t>
  </si>
  <si>
    <t>Do you want to change any of these inputs for the high growth period?</t>
  </si>
  <si>
    <t>If yes, specify the values for these inputs (Please enter all variables)</t>
  </si>
  <si>
    <t>Specify weights to be assigned to each of these growth rates:</t>
  </si>
  <si>
    <t>Historical Growth Rate  =</t>
  </si>
  <si>
    <t>Outside Prediction of Growth =</t>
  </si>
  <si>
    <t>Fundamental Estimate of Growth =</t>
  </si>
  <si>
    <t>Enter growth rate in stable growth period?</t>
  </si>
  <si>
    <t>Beta</t>
  </si>
  <si>
    <t>Will the beta to change in the stable period?</t>
  </si>
  <si>
    <t>If yes, enter the beta for stable period =</t>
  </si>
  <si>
    <t>Capital Spending, Depreciation &amp; Working Capital</t>
  </si>
  <si>
    <t>Do you want all these items to grow at the same rate as earnings ?</t>
  </si>
  <si>
    <t>If not, enter the growth rates for each of the following items:</t>
  </si>
  <si>
    <t>Capital Spending</t>
  </si>
  <si>
    <t>Depreciation</t>
  </si>
  <si>
    <t>Revenues</t>
  </si>
  <si>
    <t>High Growth</t>
  </si>
  <si>
    <t>Stable Growth</t>
  </si>
  <si>
    <t>Do not enter</t>
  </si>
  <si>
    <t>Do you want to keep the current fraction of working capital to revenues?</t>
  </si>
  <si>
    <t>Specify working capital as a percent of revenues:</t>
  </si>
  <si>
    <t>Do you want to use the current debt ratio as your desired mix?</t>
  </si>
  <si>
    <t>Change in Working Capital * (1-DR)</t>
  </si>
  <si>
    <t>Current FCFE</t>
  </si>
  <si>
    <t>Growth Rate in Earnings per share</t>
  </si>
  <si>
    <t>Growth Rate</t>
  </si>
  <si>
    <t>Weight</t>
  </si>
  <si>
    <t>Historical Growth =</t>
  </si>
  <si>
    <t>Outside Estimates =</t>
  </si>
  <si>
    <t>Fundamental Growth =</t>
  </si>
  <si>
    <t>Weighted Average</t>
  </si>
  <si>
    <t>Growth Rate in capital spending, depreciation and working capital</t>
  </si>
  <si>
    <t>Growth rate in capital spending =</t>
  </si>
  <si>
    <t>Growth rate in depreciation =</t>
  </si>
  <si>
    <t>Growth rate in revenues =</t>
  </si>
  <si>
    <t>Working Capital as percent of revenues =</t>
  </si>
  <si>
    <t xml:space="preserve"> (in percent)</t>
  </si>
  <si>
    <t>The FCFE for the high growth phase are shown below (upto 6 years)</t>
  </si>
  <si>
    <t>Terminal Year</t>
  </si>
  <si>
    <t>Earnings</t>
  </si>
  <si>
    <t xml:space="preserve"> - (CapEx-Depreciation)*(1-DR)</t>
  </si>
  <si>
    <t xml:space="preserve"> -Chg. Working Capital*(1-DR)</t>
  </si>
  <si>
    <t>Free Cashflow to Equity</t>
  </si>
  <si>
    <t>Present Value</t>
  </si>
  <si>
    <t>Growth Rate in Stable Phase =</t>
  </si>
  <si>
    <t>FCFE in Stable Phase =</t>
  </si>
  <si>
    <t>Cost of Equity in Stable Phase =</t>
  </si>
  <si>
    <t>Price at the end of growth phase =</t>
  </si>
  <si>
    <t>Present Value of FCFE in high growth phase =</t>
  </si>
  <si>
    <t>Present Value of Terminal Price =</t>
  </si>
  <si>
    <t>Value of the stock =</t>
  </si>
  <si>
    <t>Estimating the value of growth</t>
  </si>
  <si>
    <t>Value of assets in place =</t>
  </si>
  <si>
    <t>Value of stable growth =</t>
  </si>
  <si>
    <t>Value of extraordinary growth =</t>
  </si>
  <si>
    <t>Last year</t>
  </si>
  <si>
    <t>Two-Stage FCFE Discount Model</t>
  </si>
  <si>
    <t>This model is designed to value the equity in a firm, with two stages of growth, an initial</t>
  </si>
  <si>
    <t>period of higher growth and a subsequent period of stable growth.</t>
  </si>
  <si>
    <t>Assumptions</t>
  </si>
  <si>
    <t>1. The firm is expected to grow at a higher growth rate in the first period.</t>
  </si>
  <si>
    <t>2. The growth rate will drop at the end of the first period to the stable growth rate.</t>
  </si>
  <si>
    <t>3. The free cashflow to equity is the correct measure of expected cashflows to stockholders.</t>
  </si>
  <si>
    <t>The user has to define the following inputs:</t>
  </si>
  <si>
    <t>1. Length of high growth period</t>
  </si>
  <si>
    <t>2. Expected growth rate in earnings during the high growth period.</t>
  </si>
  <si>
    <t>3. Capital Spending, Depreciation and Working Capital needs during the high growth period.</t>
  </si>
  <si>
    <t>4. Expected growth rate in earnings during the stable growth period.</t>
  </si>
  <si>
    <t>5. Inputs for the cost of equity.</t>
  </si>
  <si>
    <t>Inputs to the model</t>
  </si>
  <si>
    <t>Current Earnings per share =</t>
  </si>
  <si>
    <t>(in currency)</t>
  </si>
  <si>
    <t>Current Dividends per share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</si>
</sst>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&quot;$&quot;#,##0.00_);[Red]\(&quot;$&quot;#,##0.00\)"/>
  </numFmts>
  <fonts count="10">
    <font>
      <sz val="10"/>
      <name val="Geneva"/>
    </font>
    <font>
      <sz val="10"/>
      <name val="Geneva"/>
    </font>
    <font>
      <sz val="18"/>
      <name val="Times"/>
    </font>
    <font>
      <sz val="14"/>
      <name val="Times"/>
    </font>
    <font>
      <sz val="10"/>
      <name val="Times"/>
    </font>
    <font>
      <b/>
      <sz val="10"/>
      <name val="Times"/>
    </font>
    <font>
      <i/>
      <sz val="10"/>
      <name val="Times"/>
    </font>
    <font>
      <b/>
      <sz val="14"/>
      <name val="Times"/>
    </font>
    <font>
      <sz val="9"/>
      <color indexed="81"/>
      <name val="Geneva"/>
    </font>
    <font>
      <b/>
      <sz val="9"/>
      <color indexed="81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167" fontId="4" fillId="0" borderId="0" xfId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Continuous"/>
    </xf>
    <xf numFmtId="167" fontId="4" fillId="0" borderId="7" xfId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7" fontId="4" fillId="0" borderId="8" xfId="1" applyFont="1" applyBorder="1" applyAlignment="1">
      <alignment horizontal="center"/>
    </xf>
    <xf numFmtId="0" fontId="6" fillId="0" borderId="0" xfId="0" applyFont="1" applyAlignment="1">
      <alignment horizontal="center"/>
    </xf>
    <xf numFmtId="10" fontId="6" fillId="0" borderId="7" xfId="0" applyNumberFormat="1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7" fontId="5" fillId="0" borderId="0" xfId="1" applyFont="1" applyAlignment="1">
      <alignment horizontal="center"/>
    </xf>
    <xf numFmtId="167" fontId="5" fillId="0" borderId="7" xfId="1" applyFont="1" applyBorder="1" applyAlignment="1">
      <alignment horizontal="center"/>
    </xf>
    <xf numFmtId="167" fontId="4" fillId="2" borderId="7" xfId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 applyProtection="1">
      <alignment horizontal="center"/>
    </xf>
    <xf numFmtId="10" fontId="4" fillId="2" borderId="7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0" fontId="4" fillId="2" borderId="7" xfId="2" applyNumberFormat="1" applyFont="1" applyFill="1" applyBorder="1" applyAlignment="1">
      <alignment horizontal="center"/>
    </xf>
    <xf numFmtId="167" fontId="4" fillId="2" borderId="7" xfId="1" applyFont="1" applyFill="1" applyBorder="1"/>
    <xf numFmtId="167" fontId="4" fillId="2" borderId="7" xfId="0" applyNumberFormat="1" applyFont="1" applyFill="1" applyBorder="1" applyAlignment="1">
      <alignment horizontal="center"/>
    </xf>
    <xf numFmtId="9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7" fillId="0" borderId="0" xfId="0" applyFont="1" applyAlignment="1">
      <alignment horizontal="centerContinuous"/>
    </xf>
    <xf numFmtId="0" fontId="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9"/>
  <sheetViews>
    <sheetView showGridLines="0" tabSelected="1" topLeftCell="A80" workbookViewId="0">
      <selection activeCell="I96" sqref="I96"/>
    </sheetView>
  </sheetViews>
  <sheetFormatPr defaultRowHeight="13.2"/>
  <cols>
    <col min="1" max="1" width="2.6640625" customWidth="1"/>
    <col min="2" max="3" width="12.6640625" customWidth="1"/>
    <col min="4" max="4" width="15.33203125" customWidth="1"/>
    <col min="5" max="5" width="13.21875" customWidth="1"/>
    <col min="6" max="6" width="12.6640625" customWidth="1"/>
    <col min="7" max="7" width="18.109375" customWidth="1"/>
    <col min="8" max="8" width="12.6640625" customWidth="1"/>
    <col min="9" max="256" width="11.5546875" customWidth="1"/>
  </cols>
  <sheetData>
    <row r="1" spans="2:9" ht="19.95" customHeight="1">
      <c r="B1" s="1" t="s">
        <v>104</v>
      </c>
      <c r="C1" s="2"/>
      <c r="D1" s="2"/>
      <c r="E1" s="2"/>
      <c r="F1" s="2"/>
      <c r="G1" s="2"/>
      <c r="H1" s="2"/>
      <c r="I1" s="2"/>
    </row>
    <row r="2" spans="2:9" ht="19.95" customHeight="1" thickBot="1">
      <c r="B2" s="1"/>
      <c r="C2" s="2"/>
      <c r="D2" s="2"/>
      <c r="E2" s="2"/>
      <c r="F2" s="2"/>
      <c r="G2" s="2"/>
      <c r="H2" s="2"/>
      <c r="I2" s="2"/>
    </row>
    <row r="3" spans="2:9" ht="19.95" customHeight="1">
      <c r="B3" s="3" t="s">
        <v>105</v>
      </c>
      <c r="C3" s="4"/>
      <c r="D3" s="5"/>
      <c r="E3" s="5"/>
      <c r="F3" s="5"/>
      <c r="G3" s="5"/>
      <c r="H3" s="6"/>
      <c r="I3" s="2"/>
    </row>
    <row r="4" spans="2:9" ht="19.95" customHeight="1" thickBot="1">
      <c r="B4" s="3" t="s">
        <v>106</v>
      </c>
      <c r="C4" s="7"/>
      <c r="D4" s="8"/>
      <c r="E4" s="8"/>
      <c r="F4" s="8"/>
      <c r="G4" s="8"/>
      <c r="H4" s="9"/>
      <c r="I4" s="2"/>
    </row>
    <row r="5" spans="2:9" ht="19.95" customHeight="1"/>
    <row r="6" spans="2:9" s="10" customFormat="1" ht="19.95" customHeight="1">
      <c r="B6" s="12" t="s">
        <v>107</v>
      </c>
    </row>
    <row r="7" spans="2:9" s="10" customFormat="1" ht="19.95" customHeight="1">
      <c r="B7" s="10" t="s">
        <v>108</v>
      </c>
    </row>
    <row r="8" spans="2:9" s="10" customFormat="1" ht="19.95" customHeight="1">
      <c r="B8" s="10" t="s">
        <v>109</v>
      </c>
    </row>
    <row r="9" spans="2:9" s="10" customFormat="1" ht="19.95" customHeight="1">
      <c r="B9" s="10" t="s">
        <v>110</v>
      </c>
    </row>
    <row r="10" spans="2:9" s="10" customFormat="1" ht="19.95" customHeight="1"/>
    <row r="11" spans="2:9" s="10" customFormat="1" ht="19.95" customHeight="1">
      <c r="B11" s="12" t="s">
        <v>111</v>
      </c>
    </row>
    <row r="12" spans="2:9" s="10" customFormat="1" ht="19.95" customHeight="1">
      <c r="B12" s="10" t="s">
        <v>112</v>
      </c>
    </row>
    <row r="13" spans="2:9" s="10" customFormat="1" ht="19.95" customHeight="1">
      <c r="B13" s="10" t="s">
        <v>113</v>
      </c>
    </row>
    <row r="14" spans="2:9" s="10" customFormat="1" ht="19.95" customHeight="1">
      <c r="B14" s="10" t="s">
        <v>114</v>
      </c>
    </row>
    <row r="15" spans="2:9" s="10" customFormat="1" ht="19.95" customHeight="1">
      <c r="B15" s="10" t="s">
        <v>115</v>
      </c>
    </row>
    <row r="16" spans="2:9" s="10" customFormat="1" ht="19.95" customHeight="1">
      <c r="B16" s="10" t="s">
        <v>116</v>
      </c>
    </row>
    <row r="17" spans="1:9" s="10" customFormat="1" ht="19.95" customHeight="1"/>
    <row r="18" spans="1:9" s="10" customFormat="1" ht="19.95" customHeight="1"/>
    <row r="19" spans="1:9" s="10" customFormat="1" ht="19.95" customHeight="1"/>
    <row r="20" spans="1:9" s="10" customFormat="1" ht="19.95" customHeight="1">
      <c r="A20" s="11"/>
      <c r="B20" s="17" t="s">
        <v>117</v>
      </c>
      <c r="C20" s="11"/>
      <c r="D20" s="11"/>
      <c r="E20" s="11"/>
      <c r="F20" s="11"/>
      <c r="G20" s="11"/>
      <c r="H20" s="11"/>
      <c r="I20" s="11"/>
    </row>
    <row r="21" spans="1:9" s="10" customFormat="1" ht="19.95" customHeight="1">
      <c r="B21" s="10" t="s">
        <v>118</v>
      </c>
      <c r="D21" s="34">
        <v>4</v>
      </c>
      <c r="E21" s="14" t="s">
        <v>119</v>
      </c>
    </row>
    <row r="22" spans="1:9" s="10" customFormat="1" ht="19.95" customHeight="1">
      <c r="B22" s="10" t="s">
        <v>120</v>
      </c>
      <c r="D22" s="34">
        <v>0.25</v>
      </c>
      <c r="E22" s="14" t="s">
        <v>119</v>
      </c>
    </row>
    <row r="23" spans="1:9" s="10" customFormat="1" ht="19.95" customHeight="1">
      <c r="B23" s="10" t="s">
        <v>14</v>
      </c>
      <c r="D23" s="34">
        <v>3.7</v>
      </c>
      <c r="E23" s="14" t="s">
        <v>119</v>
      </c>
    </row>
    <row r="24" spans="1:9" s="10" customFormat="1" ht="19.95" customHeight="1">
      <c r="B24" s="10" t="s">
        <v>15</v>
      </c>
      <c r="D24" s="34">
        <v>1.7</v>
      </c>
      <c r="E24" s="14" t="s">
        <v>119</v>
      </c>
    </row>
    <row r="25" spans="1:9" s="10" customFormat="1" ht="19.95" customHeight="1">
      <c r="B25" s="10" t="s">
        <v>16</v>
      </c>
      <c r="D25" s="34">
        <v>20</v>
      </c>
      <c r="E25" s="14"/>
    </row>
    <row r="26" spans="1:9" s="10" customFormat="1" ht="19.95" customHeight="1">
      <c r="B26" s="10" t="s">
        <v>17</v>
      </c>
      <c r="D26" s="34">
        <f>0.4*D25</f>
        <v>8</v>
      </c>
      <c r="E26" s="14" t="s">
        <v>119</v>
      </c>
    </row>
    <row r="27" spans="1:9" s="10" customFormat="1" ht="19.95" customHeight="1">
      <c r="B27" s="10" t="s">
        <v>18</v>
      </c>
      <c r="D27" s="34">
        <v>1</v>
      </c>
      <c r="E27" s="14"/>
    </row>
    <row r="28" spans="1:9" s="10" customFormat="1" ht="19.95" customHeight="1">
      <c r="E28" s="14"/>
    </row>
    <row r="29" spans="1:9" s="10" customFormat="1" ht="19.95" customHeight="1">
      <c r="B29" s="10" t="s">
        <v>19</v>
      </c>
      <c r="E29" s="35">
        <v>5</v>
      </c>
      <c r="F29" s="14" t="s">
        <v>20</v>
      </c>
    </row>
    <row r="30" spans="1:9" s="10" customFormat="1" ht="19.95" customHeight="1"/>
    <row r="31" spans="1:9" s="10" customFormat="1" ht="19.95" customHeight="1">
      <c r="B31" s="10" t="s">
        <v>21</v>
      </c>
      <c r="E31" s="36" t="s">
        <v>22</v>
      </c>
      <c r="F31" s="14" t="s">
        <v>23</v>
      </c>
    </row>
    <row r="32" spans="1:9" s="10" customFormat="1" ht="19.95" customHeight="1">
      <c r="B32" s="10" t="s">
        <v>24</v>
      </c>
      <c r="E32" s="37"/>
      <c r="F32" s="14" t="s">
        <v>25</v>
      </c>
    </row>
    <row r="33" spans="2:7" s="10" customFormat="1" ht="19.95" customHeight="1">
      <c r="B33" s="13" t="s">
        <v>26</v>
      </c>
      <c r="F33" s="14"/>
    </row>
    <row r="34" spans="2:7" s="10" customFormat="1" ht="19.95" customHeight="1">
      <c r="B34" s="10" t="s">
        <v>27</v>
      </c>
      <c r="D34" s="38">
        <v>1.3</v>
      </c>
      <c r="F34" s="14"/>
    </row>
    <row r="35" spans="2:7" s="10" customFormat="1" ht="19.95" customHeight="1">
      <c r="B35" s="10" t="s">
        <v>28</v>
      </c>
      <c r="D35" s="37">
        <v>7.0000000000000007E-2</v>
      </c>
      <c r="E35" s="14" t="s">
        <v>25</v>
      </c>
      <c r="F35" s="14"/>
    </row>
    <row r="36" spans="2:7" s="10" customFormat="1" ht="19.95" customHeight="1">
      <c r="B36" s="10" t="s">
        <v>29</v>
      </c>
      <c r="D36" s="37">
        <v>5.5E-2</v>
      </c>
      <c r="E36" s="14" t="s">
        <v>25</v>
      </c>
      <c r="F36" s="14"/>
    </row>
    <row r="37" spans="2:7" s="10" customFormat="1" ht="19.95" customHeight="1">
      <c r="D37" s="20"/>
      <c r="E37" s="14"/>
      <c r="F37" s="14"/>
    </row>
    <row r="38" spans="2:7" s="10" customFormat="1" ht="19.95" customHeight="1">
      <c r="B38" s="12" t="s">
        <v>30</v>
      </c>
      <c r="F38" s="14"/>
    </row>
    <row r="39" spans="2:7" s="10" customFormat="1" ht="19.95" customHeight="1">
      <c r="B39" s="10" t="s">
        <v>31</v>
      </c>
      <c r="E39" s="39" t="s">
        <v>32</v>
      </c>
      <c r="F39" s="14" t="s">
        <v>23</v>
      </c>
    </row>
    <row r="40" spans="2:7" s="10" customFormat="1" ht="19.95" customHeight="1">
      <c r="B40" s="10" t="s">
        <v>33</v>
      </c>
      <c r="E40" s="34">
        <v>0.49</v>
      </c>
      <c r="F40" s="14" t="s">
        <v>119</v>
      </c>
    </row>
    <row r="41" spans="2:7" s="10" customFormat="1" ht="19.95" customHeight="1">
      <c r="F41" s="14"/>
    </row>
    <row r="42" spans="2:7" s="10" customFormat="1" ht="19.95" customHeight="1">
      <c r="B42" s="10" t="s">
        <v>34</v>
      </c>
      <c r="E42" s="39" t="s">
        <v>32</v>
      </c>
      <c r="F42" s="14" t="s">
        <v>23</v>
      </c>
    </row>
    <row r="43" spans="2:7" s="10" customFormat="1" ht="19.95" customHeight="1">
      <c r="B43" s="10" t="s">
        <v>35</v>
      </c>
      <c r="E43" s="40">
        <v>0.19</v>
      </c>
      <c r="F43" s="14" t="s">
        <v>25</v>
      </c>
    </row>
    <row r="44" spans="2:7" s="10" customFormat="1" ht="19.95" customHeight="1">
      <c r="F44" s="14"/>
    </row>
    <row r="45" spans="2:7" s="10" customFormat="1" ht="19.95" customHeight="1">
      <c r="B45" s="10" t="s">
        <v>36</v>
      </c>
      <c r="F45" s="39" t="s">
        <v>32</v>
      </c>
      <c r="G45" s="14" t="s">
        <v>23</v>
      </c>
    </row>
    <row r="46" spans="2:7" s="10" customFormat="1" ht="19.95" customHeight="1">
      <c r="B46" s="13" t="s">
        <v>37</v>
      </c>
      <c r="F46" s="14"/>
    </row>
    <row r="47" spans="2:7" s="10" customFormat="1" ht="19.95" customHeight="1">
      <c r="B47" s="10" t="s">
        <v>38</v>
      </c>
      <c r="D47" s="42">
        <v>1077</v>
      </c>
      <c r="F47" s="14" t="s">
        <v>119</v>
      </c>
    </row>
    <row r="48" spans="2:7" s="10" customFormat="1" ht="19.95" customHeight="1">
      <c r="B48" s="10" t="s">
        <v>39</v>
      </c>
      <c r="D48" s="42">
        <v>53.85</v>
      </c>
      <c r="E48" s="10" t="s">
        <v>103</v>
      </c>
      <c r="F48" s="14" t="s">
        <v>119</v>
      </c>
    </row>
    <row r="49" spans="2:7" s="10" customFormat="1" ht="19.95" customHeight="1">
      <c r="B49" s="10" t="s">
        <v>40</v>
      </c>
      <c r="D49" s="42">
        <v>600</v>
      </c>
      <c r="E49" s="41">
        <v>550</v>
      </c>
      <c r="F49" s="14" t="s">
        <v>119</v>
      </c>
    </row>
    <row r="50" spans="2:7" s="10" customFormat="1" ht="19.95" customHeight="1">
      <c r="B50" s="10" t="s">
        <v>41</v>
      </c>
      <c r="D50" s="42">
        <v>5445</v>
      </c>
      <c r="E50" s="41">
        <v>5130</v>
      </c>
      <c r="F50" s="14" t="s">
        <v>119</v>
      </c>
    </row>
    <row r="51" spans="2:7" s="10" customFormat="1" ht="19.95" customHeight="1">
      <c r="B51" s="10" t="s">
        <v>42</v>
      </c>
      <c r="D51" s="40">
        <v>0.36</v>
      </c>
      <c r="F51" s="14" t="s">
        <v>25</v>
      </c>
    </row>
    <row r="52" spans="2:7" s="10" customFormat="1" ht="19.95" customHeight="1">
      <c r="B52" s="13" t="s">
        <v>43</v>
      </c>
      <c r="F52" s="14"/>
    </row>
    <row r="53" spans="2:7" s="10" customFormat="1" ht="19.95" customHeight="1">
      <c r="B53" s="10" t="s">
        <v>44</v>
      </c>
      <c r="C53" s="37">
        <f>(D47+D48*(1-D51))/(E49+E50)</f>
        <v>0.19568028169014084</v>
      </c>
      <c r="D53" s="10" t="s">
        <v>45</v>
      </c>
      <c r="E53" s="37">
        <f>D49/D50</f>
        <v>0.11019283746556474</v>
      </c>
      <c r="F53" s="14" t="s">
        <v>25</v>
      </c>
    </row>
    <row r="54" spans="2:7" s="10" customFormat="1" ht="19.95" customHeight="1">
      <c r="B54" s="10" t="s">
        <v>46</v>
      </c>
      <c r="C54" s="37">
        <f>1-D22/D21</f>
        <v>0.9375</v>
      </c>
      <c r="D54" s="10" t="s">
        <v>47</v>
      </c>
      <c r="E54" s="37">
        <f>D48/D49</f>
        <v>8.9749999999999996E-2</v>
      </c>
      <c r="F54" s="14" t="s">
        <v>25</v>
      </c>
    </row>
    <row r="55" spans="2:7" s="10" customFormat="1" ht="19.95" customHeight="1">
      <c r="B55" s="10" t="s">
        <v>48</v>
      </c>
      <c r="F55" s="39" t="s">
        <v>22</v>
      </c>
      <c r="G55" s="14" t="s">
        <v>23</v>
      </c>
    </row>
    <row r="56" spans="2:7" s="10" customFormat="1" ht="19.95" customHeight="1">
      <c r="B56" s="13" t="s">
        <v>49</v>
      </c>
      <c r="F56" s="14"/>
    </row>
    <row r="57" spans="2:7" s="10" customFormat="1" ht="19.95" customHeight="1">
      <c r="B57" s="10" t="s">
        <v>44</v>
      </c>
      <c r="C57" s="37">
        <f>C53</f>
        <v>0.19568028169014084</v>
      </c>
      <c r="D57" s="10" t="s">
        <v>45</v>
      </c>
      <c r="E57" s="19">
        <f>E53</f>
        <v>0.11019283746556474</v>
      </c>
      <c r="F57" s="14" t="s">
        <v>25</v>
      </c>
    </row>
    <row r="58" spans="2:7" s="10" customFormat="1" ht="19.95" customHeight="1">
      <c r="B58" s="10" t="s">
        <v>46</v>
      </c>
      <c r="C58" s="37">
        <f>C54</f>
        <v>0.9375</v>
      </c>
      <c r="D58" s="10" t="s">
        <v>47</v>
      </c>
      <c r="E58" s="19">
        <f>E54</f>
        <v>8.9749999999999996E-2</v>
      </c>
      <c r="F58" s="14" t="s">
        <v>25</v>
      </c>
    </row>
    <row r="59" spans="2:7" s="10" customFormat="1" ht="19.95" customHeight="1">
      <c r="E59" s="14"/>
      <c r="F59" s="14"/>
    </row>
    <row r="60" spans="2:7" s="10" customFormat="1" ht="19.95" customHeight="1">
      <c r="B60" s="13" t="s">
        <v>50</v>
      </c>
      <c r="E60" s="14"/>
      <c r="F60" s="14"/>
    </row>
    <row r="61" spans="2:7" s="10" customFormat="1" ht="19.95" customHeight="1">
      <c r="B61" s="10" t="s">
        <v>51</v>
      </c>
      <c r="E61" s="37">
        <v>0.1</v>
      </c>
      <c r="F61" s="14" t="s">
        <v>25</v>
      </c>
    </row>
    <row r="62" spans="2:7" s="10" customFormat="1" ht="19.95" customHeight="1">
      <c r="B62" s="10" t="s">
        <v>52</v>
      </c>
      <c r="E62" s="37">
        <v>0.4</v>
      </c>
      <c r="F62" s="14" t="s">
        <v>25</v>
      </c>
    </row>
    <row r="63" spans="2:7" s="10" customFormat="1" ht="19.95" customHeight="1">
      <c r="B63" s="10" t="s">
        <v>53</v>
      </c>
      <c r="E63" s="37">
        <f>1-E61-E62</f>
        <v>0.5</v>
      </c>
      <c r="F63" s="14" t="s">
        <v>25</v>
      </c>
    </row>
    <row r="64" spans="2:7" s="10" customFormat="1" ht="19.95" customHeight="1"/>
    <row r="65" spans="2:7" s="10" customFormat="1" ht="19.95" customHeight="1">
      <c r="B65" s="10" t="s">
        <v>54</v>
      </c>
      <c r="E65" s="37">
        <v>0.06</v>
      </c>
      <c r="F65" s="14" t="s">
        <v>25</v>
      </c>
    </row>
    <row r="66" spans="2:7" s="10" customFormat="1" ht="19.95" customHeight="1">
      <c r="E66" s="20"/>
      <c r="F66" s="14"/>
    </row>
    <row r="67" spans="2:7" s="10" customFormat="1" ht="19.95" customHeight="1">
      <c r="B67" s="12" t="s">
        <v>55</v>
      </c>
      <c r="E67" s="22"/>
      <c r="F67" s="14"/>
    </row>
    <row r="68" spans="2:7" s="10" customFormat="1" ht="19.95" customHeight="1">
      <c r="B68" s="10" t="s">
        <v>56</v>
      </c>
      <c r="E68" s="39" t="s">
        <v>32</v>
      </c>
      <c r="F68" s="14" t="s">
        <v>23</v>
      </c>
    </row>
    <row r="69" spans="2:7" s="10" customFormat="1" ht="19.95" customHeight="1">
      <c r="B69" s="10" t="s">
        <v>57</v>
      </c>
      <c r="E69" s="39">
        <v>1.1000000000000001</v>
      </c>
      <c r="F69" s="14"/>
    </row>
    <row r="70" spans="2:7" s="10" customFormat="1" ht="19.95" customHeight="1">
      <c r="E70" s="14"/>
      <c r="F70" s="14"/>
    </row>
    <row r="71" spans="2:7" s="12" customFormat="1" ht="19.95" customHeight="1">
      <c r="B71" s="12" t="s">
        <v>58</v>
      </c>
      <c r="E71" s="23"/>
      <c r="F71" s="23"/>
    </row>
    <row r="72" spans="2:7" s="10" customFormat="1" ht="19.95" customHeight="1">
      <c r="B72" s="10" t="s">
        <v>59</v>
      </c>
      <c r="E72" s="14"/>
      <c r="F72" s="39" t="s">
        <v>22</v>
      </c>
      <c r="G72" s="14" t="s">
        <v>23</v>
      </c>
    </row>
    <row r="73" spans="2:7" s="10" customFormat="1" ht="19.95" customHeight="1">
      <c r="B73" s="10" t="s">
        <v>60</v>
      </c>
      <c r="E73" s="14"/>
      <c r="F73" s="14"/>
    </row>
    <row r="74" spans="2:7" s="10" customFormat="1" ht="19.95" customHeight="1">
      <c r="C74" s="14" t="s">
        <v>61</v>
      </c>
      <c r="D74" s="14" t="s">
        <v>62</v>
      </c>
      <c r="E74" s="14" t="s">
        <v>63</v>
      </c>
      <c r="F74" s="14"/>
    </row>
    <row r="75" spans="2:7" s="10" customFormat="1" ht="19.95" customHeight="1">
      <c r="B75" s="10" t="s">
        <v>64</v>
      </c>
      <c r="C75" s="43">
        <v>0.2</v>
      </c>
      <c r="D75" s="43">
        <v>0.2</v>
      </c>
      <c r="E75" s="43">
        <v>0.18</v>
      </c>
      <c r="F75" s="14" t="s">
        <v>25</v>
      </c>
    </row>
    <row r="76" spans="2:7" s="10" customFormat="1" ht="19.95" customHeight="1">
      <c r="B76" s="10" t="s">
        <v>65</v>
      </c>
      <c r="C76" s="43" t="s">
        <v>66</v>
      </c>
      <c r="D76" s="43" t="s">
        <v>66</v>
      </c>
      <c r="E76" s="43">
        <v>0.06</v>
      </c>
      <c r="F76" s="14" t="s">
        <v>25</v>
      </c>
    </row>
    <row r="77" spans="2:7" s="10" customFormat="1" ht="19.95" customHeight="1">
      <c r="E77" s="14"/>
      <c r="F77" s="14"/>
    </row>
    <row r="78" spans="2:7" s="10" customFormat="1" ht="19.95" customHeight="1">
      <c r="B78" s="10" t="s">
        <v>67</v>
      </c>
      <c r="E78" s="14"/>
      <c r="F78" s="39" t="s">
        <v>32</v>
      </c>
      <c r="G78" s="14" t="s">
        <v>23</v>
      </c>
    </row>
    <row r="79" spans="2:7" s="10" customFormat="1" ht="19.95" customHeight="1">
      <c r="B79" s="10" t="s">
        <v>68</v>
      </c>
      <c r="E79" s="43">
        <v>0.4</v>
      </c>
      <c r="F79" s="14" t="s">
        <v>25</v>
      </c>
    </row>
    <row r="80" spans="2:7" s="10" customFormat="1" ht="19.95" customHeight="1">
      <c r="E80" s="14"/>
      <c r="F80" s="14"/>
    </row>
    <row r="81" spans="1:9" s="10" customFormat="1" ht="19.95" customHeight="1">
      <c r="B81" s="10" t="s">
        <v>69</v>
      </c>
      <c r="E81" s="14"/>
      <c r="F81" s="39" t="s">
        <v>32</v>
      </c>
      <c r="G81" s="14" t="s">
        <v>23</v>
      </c>
    </row>
    <row r="82" spans="1:9" s="10" customFormat="1" ht="19.95" customHeight="1">
      <c r="B82" s="13" t="s">
        <v>0</v>
      </c>
      <c r="E82" s="14"/>
      <c r="F82" s="14"/>
      <c r="G82" s="14"/>
    </row>
    <row r="83" spans="1:9" s="10" customFormat="1" ht="19.95" customHeight="1">
      <c r="B83" s="10" t="s">
        <v>1</v>
      </c>
      <c r="E83" s="39"/>
      <c r="F83" s="14" t="s">
        <v>25</v>
      </c>
    </row>
    <row r="84" spans="1:9" s="10" customFormat="1" ht="19.95" customHeight="1">
      <c r="B84" s="10" t="s">
        <v>2</v>
      </c>
      <c r="E84" s="44"/>
      <c r="F84" s="14" t="s">
        <v>25</v>
      </c>
    </row>
    <row r="85" spans="1:9" s="10" customFormat="1" ht="19.95" customHeight="1">
      <c r="E85" s="22"/>
      <c r="F85" s="14"/>
    </row>
    <row r="86" spans="1:9" s="10" customFormat="1" ht="19.95" customHeight="1">
      <c r="B86" s="13" t="s">
        <v>3</v>
      </c>
      <c r="E86" s="22"/>
      <c r="F86" s="14"/>
    </row>
    <row r="87" spans="1:9" s="10" customFormat="1" ht="19.95" customHeight="1">
      <c r="B87" s="10" t="s">
        <v>4</v>
      </c>
      <c r="E87" s="22"/>
      <c r="F87" s="39" t="s">
        <v>22</v>
      </c>
      <c r="G87" s="14" t="s">
        <v>23</v>
      </c>
    </row>
    <row r="88" spans="1:9" s="10" customFormat="1" ht="19.95" customHeight="1">
      <c r="B88" s="10" t="s">
        <v>12</v>
      </c>
      <c r="E88" s="22"/>
      <c r="F88" s="39" t="s">
        <v>32</v>
      </c>
      <c r="G88" s="14"/>
    </row>
    <row r="89" spans="1:9" s="10" customFormat="1" ht="19.95" customHeight="1">
      <c r="B89" s="10" t="s">
        <v>13</v>
      </c>
      <c r="E89" s="22"/>
      <c r="F89" s="43">
        <v>0.12</v>
      </c>
      <c r="G89" s="14"/>
    </row>
    <row r="90" spans="1:9" s="10" customFormat="1" ht="19.95" customHeight="1">
      <c r="B90" s="10" t="s">
        <v>5</v>
      </c>
      <c r="E90" s="22"/>
      <c r="F90" s="43">
        <v>1.5</v>
      </c>
      <c r="G90" s="14" t="s">
        <v>25</v>
      </c>
    </row>
    <row r="91" spans="1:9" s="10" customFormat="1" ht="19.95" customHeight="1">
      <c r="E91" s="22"/>
      <c r="F91" s="22"/>
      <c r="G91" s="14"/>
    </row>
    <row r="92" spans="1:9" s="46" customFormat="1" ht="19.95" customHeight="1">
      <c r="A92" s="3"/>
      <c r="B92" s="45" t="s">
        <v>6</v>
      </c>
      <c r="C92" s="3"/>
      <c r="D92" s="3"/>
      <c r="E92" s="3"/>
      <c r="F92" s="3"/>
      <c r="G92" s="3"/>
      <c r="H92" s="3"/>
      <c r="I92" s="3"/>
    </row>
    <row r="93" spans="1:9" s="10" customFormat="1" ht="19.95" customHeight="1">
      <c r="B93" s="10" t="s">
        <v>7</v>
      </c>
      <c r="D93" s="19">
        <f>IF(E31="Yes",E32,D35+D34*D36)</f>
        <v>0.14150000000000001</v>
      </c>
      <c r="E93" s="14"/>
      <c r="F93" s="14"/>
    </row>
    <row r="94" spans="1:9" s="10" customFormat="1" ht="19.95" customHeight="1">
      <c r="E94" s="14"/>
      <c r="F94" s="14"/>
    </row>
    <row r="95" spans="1:9" s="10" customFormat="1" ht="19.95" customHeight="1">
      <c r="B95" s="10" t="s">
        <v>8</v>
      </c>
      <c r="E95" s="19">
        <f>IF(F81="Yes",E57/(1+E57),E83)</f>
        <v>9.9255583126550875E-2</v>
      </c>
      <c r="F95" s="14"/>
    </row>
    <row r="96" spans="1:9" s="10" customFormat="1" ht="19.95" customHeight="1">
      <c r="B96" s="10" t="s">
        <v>9</v>
      </c>
      <c r="E96" s="19">
        <f>IF(F81="Yes",E57/(1+E57),E84)</f>
        <v>9.9255583126550875E-2</v>
      </c>
      <c r="F96" s="14"/>
    </row>
    <row r="97" spans="2:7" s="10" customFormat="1" ht="19.95" customHeight="1">
      <c r="E97" s="14"/>
      <c r="F97" s="14"/>
    </row>
    <row r="98" spans="2:7" s="10" customFormat="1" ht="19.95" customHeight="1">
      <c r="B98" s="10" t="s">
        <v>10</v>
      </c>
      <c r="E98" s="21">
        <f>D21</f>
        <v>4</v>
      </c>
      <c r="F98" s="14"/>
      <c r="G98" s="14"/>
    </row>
    <row r="99" spans="2:7" s="10" customFormat="1" ht="19.95" customHeight="1">
      <c r="B99" s="10" t="s">
        <v>11</v>
      </c>
      <c r="D99" s="16"/>
      <c r="E99" s="18">
        <f>(D23-D24)*(1-E95)</f>
        <v>1.8014888337468982</v>
      </c>
      <c r="F99" s="14"/>
    </row>
    <row r="100" spans="2:7" s="10" customFormat="1" ht="19.95" customHeight="1">
      <c r="B100" s="10" t="s">
        <v>70</v>
      </c>
      <c r="D100" s="16"/>
      <c r="E100" s="18">
        <f>D27*(1-E96)</f>
        <v>0.90074441687344908</v>
      </c>
      <c r="F100" s="14"/>
    </row>
    <row r="101" spans="2:7" s="10" customFormat="1" ht="19.95" customHeight="1">
      <c r="B101" s="10" t="s">
        <v>71</v>
      </c>
      <c r="D101" s="16"/>
      <c r="E101" s="24">
        <f>E98-E99-E100</f>
        <v>1.2977667493796528</v>
      </c>
      <c r="F101" s="14"/>
    </row>
    <row r="102" spans="2:7" s="10" customFormat="1" ht="19.95" customHeight="1">
      <c r="E102" s="14"/>
      <c r="F102" s="14"/>
    </row>
    <row r="103" spans="2:7" s="10" customFormat="1" ht="19.95" customHeight="1">
      <c r="B103" s="10" t="s">
        <v>72</v>
      </c>
      <c r="E103" s="14"/>
      <c r="F103" s="14"/>
    </row>
    <row r="104" spans="2:7" s="13" customFormat="1" ht="19.95" customHeight="1">
      <c r="D104" s="13" t="s">
        <v>73</v>
      </c>
      <c r="E104" s="25" t="s">
        <v>74</v>
      </c>
      <c r="F104" s="25"/>
    </row>
    <row r="105" spans="2:7" s="10" customFormat="1" ht="19.95" customHeight="1">
      <c r="B105" s="10" t="s">
        <v>75</v>
      </c>
      <c r="D105" s="19">
        <f>(D21/E40)^(0.2)-1</f>
        <v>0.52185327160101469</v>
      </c>
      <c r="E105" s="19">
        <f>E61</f>
        <v>0.1</v>
      </c>
      <c r="F105" s="14"/>
    </row>
    <row r="106" spans="2:7" s="10" customFormat="1" ht="19.95" customHeight="1">
      <c r="B106" s="10" t="s">
        <v>76</v>
      </c>
      <c r="D106" s="19">
        <f>E43</f>
        <v>0.19</v>
      </c>
      <c r="E106" s="19">
        <f>E62</f>
        <v>0.4</v>
      </c>
      <c r="F106" s="14"/>
    </row>
    <row r="107" spans="2:7" s="10" customFormat="1" ht="19.95" customHeight="1">
      <c r="B107" s="10" t="s">
        <v>77</v>
      </c>
      <c r="D107" s="19">
        <f>IF(F55="No",C54*(C53+E53*(C53-E54*(1-D51))),C58*(C57+E57*(C57-E58*(1-D51))))</f>
        <v>0.19773128492026537</v>
      </c>
      <c r="E107" s="19">
        <f>E63</f>
        <v>0.5</v>
      </c>
      <c r="F107" s="14"/>
    </row>
    <row r="108" spans="2:7" s="13" customFormat="1" ht="19.95" customHeight="1">
      <c r="B108" s="13" t="s">
        <v>78</v>
      </c>
      <c r="D108" s="26">
        <f>D105*E105+D106*E106+D107*E107</f>
        <v>0.22705096962023416</v>
      </c>
      <c r="E108" s="25"/>
      <c r="F108" s="25"/>
    </row>
    <row r="109" spans="2:7" s="13" customFormat="1" ht="19.95" customHeight="1">
      <c r="D109" s="27"/>
      <c r="E109" s="25"/>
      <c r="F109" s="25"/>
    </row>
    <row r="110" spans="2:7" s="13" customFormat="1" ht="19.95" customHeight="1">
      <c r="B110" s="10" t="s">
        <v>79</v>
      </c>
      <c r="D110" s="27"/>
      <c r="E110" s="25"/>
      <c r="F110" s="25"/>
    </row>
    <row r="111" spans="2:7" s="13" customFormat="1" ht="19.95" customHeight="1">
      <c r="B111" s="10"/>
      <c r="D111" s="27" t="s">
        <v>64</v>
      </c>
      <c r="E111" s="25" t="s">
        <v>65</v>
      </c>
      <c r="F111" s="25"/>
    </row>
    <row r="112" spans="2:7" s="13" customFormat="1" ht="19.95" customHeight="1">
      <c r="B112" s="10" t="s">
        <v>80</v>
      </c>
      <c r="D112" s="19">
        <f>IF(F72="Yes",D108,C75)</f>
        <v>0.2</v>
      </c>
      <c r="E112" s="19" t="str">
        <f>IF(F72="Yes",E125,C76)</f>
        <v>Do not enter</v>
      </c>
      <c r="F112" s="25"/>
    </row>
    <row r="113" spans="2:14" s="13" customFormat="1" ht="19.95" customHeight="1">
      <c r="B113" s="10" t="s">
        <v>81</v>
      </c>
      <c r="D113" s="19">
        <f>IF(F72="Yes",D108,D75)</f>
        <v>0.2</v>
      </c>
      <c r="E113" s="19" t="str">
        <f>IF(F72="Yes",E125,D76)</f>
        <v>Do not enter</v>
      </c>
      <c r="F113" s="25"/>
    </row>
    <row r="114" spans="2:14" s="10" customFormat="1" ht="19.95" customHeight="1">
      <c r="B114" s="10" t="s">
        <v>82</v>
      </c>
      <c r="D114" s="28">
        <f>IF(F72="Yes",D108,E75)</f>
        <v>0.18</v>
      </c>
      <c r="E114" s="19">
        <f>IF(F72="Yes",E125,E76)</f>
        <v>0.06</v>
      </c>
      <c r="F114" s="14"/>
    </row>
    <row r="115" spans="2:14" s="10" customFormat="1" ht="19.95" customHeight="1">
      <c r="D115" s="29"/>
      <c r="E115" s="20"/>
      <c r="F115" s="14"/>
    </row>
    <row r="116" spans="2:14" s="10" customFormat="1" ht="19.95" customHeight="1">
      <c r="B116" s="10" t="s">
        <v>83</v>
      </c>
      <c r="D116" s="29"/>
      <c r="E116" s="19">
        <f>IF(F78="Yes",(IF(D26/D25&lt;0,0,D26/D25)),E79)</f>
        <v>0.4</v>
      </c>
      <c r="F116" s="14" t="s">
        <v>84</v>
      </c>
    </row>
    <row r="117" spans="2:14" s="10" customFormat="1" ht="19.95" customHeight="1">
      <c r="B117" s="13" t="s">
        <v>85</v>
      </c>
      <c r="E117" s="20"/>
      <c r="F117" s="14"/>
    </row>
    <row r="118" spans="2:14" s="10" customFormat="1" ht="19.95" customHeight="1">
      <c r="B118" s="14"/>
      <c r="C118" s="14"/>
      <c r="D118" s="14">
        <f>IF(E29=0," ",1)</f>
        <v>1</v>
      </c>
      <c r="E118" s="14">
        <f>IF(E29=1," ",2)</f>
        <v>2</v>
      </c>
      <c r="F118" s="30">
        <f>IF(E29&lt;3," ",3)</f>
        <v>3</v>
      </c>
      <c r="G118" s="14">
        <f>IF(E29&lt;4," ",4)</f>
        <v>4</v>
      </c>
      <c r="H118" s="14">
        <f>IF(E29&lt;5," ",5)</f>
        <v>5</v>
      </c>
      <c r="I118" s="14" t="str">
        <f>IF($E$29&lt;6," ",6)</f>
        <v xml:space="preserve"> </v>
      </c>
      <c r="J118" s="14" t="str">
        <f>IF($E$29&lt;7," ",7)</f>
        <v xml:space="preserve"> </v>
      </c>
      <c r="K118" s="14" t="str">
        <f>IF($E$29&lt;8," ",8)</f>
        <v xml:space="preserve"> </v>
      </c>
      <c r="L118" s="14" t="str">
        <f>IF($E$29&lt;9," ",9)</f>
        <v xml:space="preserve"> </v>
      </c>
      <c r="M118" s="14" t="str">
        <f>IF($E$29&lt;10," ",10)</f>
        <v xml:space="preserve"> </v>
      </c>
      <c r="N118" s="10" t="s">
        <v>86</v>
      </c>
    </row>
    <row r="119" spans="2:14" s="10" customFormat="1" ht="19.95" customHeight="1">
      <c r="B119" s="31" t="s">
        <v>87</v>
      </c>
      <c r="C119" s="14"/>
      <c r="D119" s="15">
        <f>IF($E$29&lt;1," ",$E$98*(1+D108))</f>
        <v>4.9082038784809363</v>
      </c>
      <c r="E119" s="15">
        <f t="shared" ref="E119:M119" si="0">IF($E$29&lt;E118," ",D119*(1+$D$108))</f>
        <v>6.0226163281838261</v>
      </c>
      <c r="F119" s="15">
        <f t="shared" si="0"/>
        <v>7.3900572051486177</v>
      </c>
      <c r="G119" s="15">
        <f t="shared" si="0"/>
        <v>9.0679768591266079</v>
      </c>
      <c r="H119" s="15">
        <f t="shared" si="0"/>
        <v>11.126869797485149</v>
      </c>
      <c r="I119" s="15" t="str">
        <f t="shared" si="0"/>
        <v xml:space="preserve"> </v>
      </c>
      <c r="J119" s="15" t="str">
        <f t="shared" si="0"/>
        <v xml:space="preserve"> </v>
      </c>
      <c r="K119" s="15" t="str">
        <f t="shared" si="0"/>
        <v xml:space="preserve"> </v>
      </c>
      <c r="L119" s="15" t="str">
        <f t="shared" si="0"/>
        <v xml:space="preserve"> </v>
      </c>
      <c r="M119" s="15" t="str">
        <f t="shared" si="0"/>
        <v xml:space="preserve"> </v>
      </c>
      <c r="N119" s="15">
        <f>E98*(1+D108)^E29*(1+E125)</f>
        <v>11.794481985334258</v>
      </c>
    </row>
    <row r="120" spans="2:14" s="10" customFormat="1" ht="19.95" customHeight="1">
      <c r="B120" s="31" t="s">
        <v>88</v>
      </c>
      <c r="C120" s="23"/>
      <c r="D120" s="15">
        <f t="shared" ref="D120:M120" si="1">IF($E$29&lt;D118," ",($D$23*(1+$D$112)^D118-$D$24*(1+$D$113)^D118)*(1-$E$95))</f>
        <v>2.1617866004962782</v>
      </c>
      <c r="E120" s="15">
        <f t="shared" si="1"/>
        <v>2.5941439205955334</v>
      </c>
      <c r="F120" s="15">
        <f t="shared" si="1"/>
        <v>3.1129727047146405</v>
      </c>
      <c r="G120" s="15">
        <f t="shared" si="1"/>
        <v>3.7355672456575677</v>
      </c>
      <c r="H120" s="15">
        <f t="shared" si="1"/>
        <v>4.4826806947890834</v>
      </c>
      <c r="I120" s="15" t="str">
        <f t="shared" si="1"/>
        <v xml:space="preserve"> </v>
      </c>
      <c r="J120" s="15" t="str">
        <f t="shared" si="1"/>
        <v xml:space="preserve"> </v>
      </c>
      <c r="K120" s="15" t="str">
        <f t="shared" si="1"/>
        <v xml:space="preserve"> </v>
      </c>
      <c r="L120" s="15" t="str">
        <f t="shared" si="1"/>
        <v xml:space="preserve"> </v>
      </c>
      <c r="M120" s="15" t="str">
        <f t="shared" si="1"/>
        <v xml:space="preserve"> </v>
      </c>
      <c r="N120" s="15">
        <f>IF(F87="Yes",0,IF(F88="Yes",(E125/F89)*N119-N121,(F90-1)*D24*(1+D113)^E29*(1+E125)*(1-E95)))</f>
        <v>4.9081121799007956</v>
      </c>
    </row>
    <row r="121" spans="2:14" s="10" customFormat="1" ht="19.95" customHeight="1">
      <c r="B121" s="31" t="s">
        <v>89</v>
      </c>
      <c r="C121" s="32"/>
      <c r="D121" s="15">
        <f t="shared" ref="D121:M121" si="2">IF($E$29&lt;D118," ",($D$25*$E$116*((1+$D$114)^D118-(1+$D$114)^(D118-1)))*(1-$E$95))</f>
        <v>1.2970719602977663</v>
      </c>
      <c r="E121" s="15">
        <f t="shared" si="2"/>
        <v>1.5305449131513642</v>
      </c>
      <c r="F121" s="15">
        <f t="shared" si="2"/>
        <v>1.8060429975186101</v>
      </c>
      <c r="G121" s="15">
        <f t="shared" si="2"/>
        <v>2.1311307370719583</v>
      </c>
      <c r="H121" s="15">
        <f t="shared" si="2"/>
        <v>2.5147342697449102</v>
      </c>
      <c r="I121" s="15" t="str">
        <f t="shared" si="2"/>
        <v xml:space="preserve"> </v>
      </c>
      <c r="J121" s="15" t="str">
        <f t="shared" si="2"/>
        <v xml:space="preserve"> </v>
      </c>
      <c r="K121" s="15" t="str">
        <f t="shared" si="2"/>
        <v xml:space="preserve"> </v>
      </c>
      <c r="L121" s="15" t="str">
        <f t="shared" si="2"/>
        <v xml:space="preserve"> </v>
      </c>
      <c r="M121" s="15" t="str">
        <f t="shared" si="2"/>
        <v xml:space="preserve"> </v>
      </c>
      <c r="N121" s="15">
        <f>(D25*(1+D114)^E29*(1+E114)-D25*(1+D114)^E29)*E116*(1-E96)</f>
        <v>0.98912881276633369</v>
      </c>
    </row>
    <row r="122" spans="2:14" s="10" customFormat="1" ht="19.95" customHeight="1">
      <c r="B122" s="31" t="s">
        <v>90</v>
      </c>
      <c r="C122" s="32"/>
      <c r="D122" s="15">
        <f t="shared" ref="D122:M122" si="3">IF($E$29&lt;D118," ",D119-D120-D121)</f>
        <v>1.4493453176868918</v>
      </c>
      <c r="E122" s="15">
        <f t="shared" si="3"/>
        <v>1.8979274944369284</v>
      </c>
      <c r="F122" s="15">
        <f t="shared" si="3"/>
        <v>2.4710415029153672</v>
      </c>
      <c r="G122" s="15">
        <f t="shared" si="3"/>
        <v>3.2012788763970819</v>
      </c>
      <c r="H122" s="15">
        <f t="shared" si="3"/>
        <v>4.129454832951156</v>
      </c>
      <c r="I122" s="15" t="str">
        <f t="shared" si="3"/>
        <v xml:space="preserve"> </v>
      </c>
      <c r="J122" s="15" t="str">
        <f t="shared" si="3"/>
        <v xml:space="preserve"> </v>
      </c>
      <c r="K122" s="15" t="str">
        <f t="shared" si="3"/>
        <v xml:space="preserve"> </v>
      </c>
      <c r="L122" s="15" t="str">
        <f t="shared" si="3"/>
        <v xml:space="preserve"> </v>
      </c>
      <c r="M122" s="15" t="str">
        <f t="shared" si="3"/>
        <v xml:space="preserve"> </v>
      </c>
      <c r="N122" s="16">
        <f>N119-N120-N121</f>
        <v>5.897240992667129</v>
      </c>
    </row>
    <row r="123" spans="2:14" s="10" customFormat="1" ht="19.95" customHeight="1">
      <c r="B123" s="14" t="s">
        <v>91</v>
      </c>
      <c r="C123" s="32"/>
      <c r="D123" s="32">
        <f t="shared" ref="D123:M123" si="4">IF($E$29&lt;D118," ",D122/(1+$D$93)^D118)</f>
        <v>1.2696849037992921</v>
      </c>
      <c r="E123" s="32">
        <f t="shared" si="4"/>
        <v>1.4565580092258046</v>
      </c>
      <c r="F123" s="32">
        <f t="shared" si="4"/>
        <v>1.6613161703285082</v>
      </c>
      <c r="G123" s="32">
        <f t="shared" si="4"/>
        <v>1.8854709506539244</v>
      </c>
      <c r="H123" s="32">
        <f t="shared" si="4"/>
        <v>2.1306550371336139</v>
      </c>
      <c r="I123" s="32" t="str">
        <f t="shared" si="4"/>
        <v xml:space="preserve"> </v>
      </c>
      <c r="J123" s="32" t="str">
        <f t="shared" si="4"/>
        <v xml:space="preserve"> </v>
      </c>
      <c r="K123" s="32" t="str">
        <f t="shared" si="4"/>
        <v xml:space="preserve"> </v>
      </c>
      <c r="L123" s="32" t="str">
        <f t="shared" si="4"/>
        <v xml:space="preserve"> </v>
      </c>
      <c r="M123" s="32" t="str">
        <f t="shared" si="4"/>
        <v xml:space="preserve"> </v>
      </c>
    </row>
    <row r="124" spans="2:14" s="10" customFormat="1" ht="19.95" customHeight="1">
      <c r="E124" s="14"/>
      <c r="F124" s="14"/>
    </row>
    <row r="125" spans="2:14" s="10" customFormat="1" ht="19.95" customHeight="1">
      <c r="B125" s="10" t="s">
        <v>92</v>
      </c>
      <c r="E125" s="19">
        <f>E65</f>
        <v>0.06</v>
      </c>
      <c r="F125" s="14"/>
    </row>
    <row r="126" spans="2:14" s="10" customFormat="1" ht="19.95" customHeight="1">
      <c r="B126" s="10" t="s">
        <v>93</v>
      </c>
      <c r="E126" s="18">
        <f>N122</f>
        <v>5.897240992667129</v>
      </c>
      <c r="F126" s="14"/>
    </row>
    <row r="127" spans="2:14" s="10" customFormat="1" ht="19.95" customHeight="1">
      <c r="B127" s="10" t="s">
        <v>94</v>
      </c>
      <c r="E127" s="19">
        <f>IF(E68="No",D35+D34*D36,D35+E69*D36)</f>
        <v>0.1305</v>
      </c>
      <c r="F127" s="14"/>
    </row>
    <row r="128" spans="2:14" s="12" customFormat="1" ht="19.95" customHeight="1">
      <c r="B128" s="12" t="s">
        <v>95</v>
      </c>
      <c r="E128" s="33">
        <f>E126/(E127-E125)</f>
        <v>83.648808406625932</v>
      </c>
      <c r="F128" s="23"/>
    </row>
    <row r="129" spans="2:6" s="10" customFormat="1" ht="19.95" customHeight="1">
      <c r="E129" s="14"/>
      <c r="F129" s="14"/>
    </row>
    <row r="130" spans="2:6" s="10" customFormat="1" ht="19.95" customHeight="1">
      <c r="B130" s="12" t="s">
        <v>96</v>
      </c>
      <c r="C130" s="12"/>
      <c r="D130" s="12"/>
      <c r="E130" s="23"/>
      <c r="F130" s="33">
        <f>SUM(D123:M123)</f>
        <v>8.4036850711411422</v>
      </c>
    </row>
    <row r="131" spans="2:6" s="10" customFormat="1" ht="19.95" customHeight="1">
      <c r="B131" s="12" t="s">
        <v>97</v>
      </c>
      <c r="C131" s="12"/>
      <c r="D131" s="12"/>
      <c r="E131" s="23"/>
      <c r="F131" s="33">
        <f>E128/(1+D93)^E29</f>
        <v>43.159875138876536</v>
      </c>
    </row>
    <row r="132" spans="2:6" s="10" customFormat="1" ht="19.95" customHeight="1">
      <c r="B132" s="12" t="s">
        <v>98</v>
      </c>
      <c r="C132" s="12"/>
      <c r="D132" s="12"/>
      <c r="E132" s="23"/>
      <c r="F132" s="33">
        <f>F130+F131</f>
        <v>51.563560210017677</v>
      </c>
    </row>
    <row r="133" spans="2:6" s="10" customFormat="1" ht="19.95" customHeight="1">
      <c r="E133" s="14"/>
      <c r="F133" s="14"/>
    </row>
    <row r="134" spans="2:6" s="10" customFormat="1" ht="19.95" customHeight="1">
      <c r="E134" s="14"/>
      <c r="F134" s="14"/>
    </row>
    <row r="135" spans="2:6" s="10" customFormat="1" ht="19.95" customHeight="1">
      <c r="B135" s="12" t="s">
        <v>99</v>
      </c>
      <c r="E135" s="14"/>
      <c r="F135" s="14"/>
    </row>
    <row r="136" spans="2:6" s="10" customFormat="1" ht="19.95" customHeight="1">
      <c r="B136" s="10" t="s">
        <v>100</v>
      </c>
      <c r="E136" s="18">
        <f>E101/E127</f>
        <v>9.9445727921812459</v>
      </c>
      <c r="F136" s="14"/>
    </row>
    <row r="137" spans="2:6" s="10" customFormat="1" ht="19.95" customHeight="1">
      <c r="B137" s="10" t="s">
        <v>101</v>
      </c>
      <c r="E137" s="18">
        <f>E101*(1+E125)/(E127-E125)-E136</f>
        <v>9.5679485460092781</v>
      </c>
      <c r="F137" s="14"/>
    </row>
    <row r="138" spans="2:6" s="10" customFormat="1" ht="19.95" customHeight="1">
      <c r="B138" s="10" t="s">
        <v>102</v>
      </c>
      <c r="E138" s="18">
        <f>F132-E137-E136</f>
        <v>32.051038871827153</v>
      </c>
      <c r="F138" s="14"/>
    </row>
    <row r="139" spans="2:6" s="10" customFormat="1" ht="19.95" customHeight="1">
      <c r="B139" s="10" t="s">
        <v>98</v>
      </c>
      <c r="E139" s="18">
        <f>SUM(E136:E138)</f>
        <v>51.563560210017677</v>
      </c>
      <c r="F139" s="14"/>
    </row>
  </sheetData>
  <printOptions gridLinesSet="0"/>
  <pageMargins left="0.75" right="0.75" top="1" bottom="1" header="0.5" footer="0.5"/>
  <pageSetup orientation="portrait" horizontalDpi="0" verticalDpi="0" copies="0"/>
  <headerFooter alignWithMargins="0">
    <oddHeader>&amp;C Two-Stage FCFE Discount Model</oddHeader>
    <oddFooter>Page &amp;p</oddFooter>
  </headerFooter>
  <rowBreaks count="4" manualBreakCount="4">
    <brk id="19" max="65535" man="1"/>
    <brk id="90" max="65535" man="1"/>
    <brk id="98" max="65535" man="1"/>
    <brk id="140" max="65535" man="1"/>
  </row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FCFE2Stage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Iweze</cp:lastModifiedBy>
  <dcterms:created xsi:type="dcterms:W3CDTF">1998-07-02T05:00:22Z</dcterms:created>
  <dcterms:modified xsi:type="dcterms:W3CDTF">2023-12-23T17:07:41Z</dcterms:modified>
</cp:coreProperties>
</file>