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ate1904="1"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6B5A6C8D-9CD9-4C34-A32B-DC1FC2130836}" xr6:coauthVersionLast="47" xr6:coauthVersionMax="47" xr10:uidLastSave="{00000000-0000-0000-0000-000000000000}"/>
  <bookViews>
    <workbookView xWindow="-108" yWindow="-108" windowWidth="23256" windowHeight="12456" activeTab="5"/>
  </bookViews>
  <sheets>
    <sheet name="Sheet1" sheetId="2" r:id="rId1"/>
    <sheet name="Option Valuation" sheetId="9" r:id="rId2"/>
    <sheet name="RevGrowthChart" sheetId="11" r:id="rId3"/>
    <sheet name="MarginChart" sheetId="12" r:id="rId4"/>
    <sheet name="What-If" sheetId="10" r:id="rId5"/>
    <sheet name="The Valuation of Amazon" sheetId="1" r:id="rId6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" i="9"/>
  <c r="C13" i="9" s="1"/>
  <c r="D9" i="9"/>
  <c r="F14" i="9" s="1"/>
  <c r="F13" i="9"/>
  <c r="C14" i="9"/>
  <c r="F15" i="9"/>
  <c r="C16" i="9"/>
  <c r="F16" i="9"/>
  <c r="C17" i="9"/>
  <c r="F17" i="9"/>
  <c r="C27" i="9"/>
  <c r="D24" i="1"/>
  <c r="D25" i="1"/>
  <c r="D26" i="1"/>
  <c r="D28" i="1"/>
  <c r="C105" i="1" s="1"/>
  <c r="D29" i="1"/>
  <c r="D31" i="1"/>
  <c r="F40" i="1"/>
  <c r="B61" i="1"/>
  <c r="E61" i="1"/>
  <c r="F61" i="1"/>
  <c r="B62" i="1"/>
  <c r="E62" i="1"/>
  <c r="F62" i="1"/>
  <c r="G62" i="1"/>
  <c r="G63" i="1" s="1"/>
  <c r="G64" i="1" s="1"/>
  <c r="G65" i="1" s="1"/>
  <c r="G66" i="1" s="1"/>
  <c r="G67" i="1" s="1"/>
  <c r="G68" i="1" s="1"/>
  <c r="G69" i="1" s="1"/>
  <c r="G70" i="1" s="1"/>
  <c r="E74" i="1" s="1"/>
  <c r="B63" i="1"/>
  <c r="E63" i="1"/>
  <c r="F63" i="1"/>
  <c r="B64" i="1"/>
  <c r="E64" i="1"/>
  <c r="F64" i="1"/>
  <c r="B65" i="1"/>
  <c r="D69" i="1" s="1"/>
  <c r="E65" i="1"/>
  <c r="F65" i="1"/>
  <c r="B66" i="1"/>
  <c r="D66" i="1"/>
  <c r="E66" i="1"/>
  <c r="F66" i="1"/>
  <c r="B67" i="1"/>
  <c r="D67" i="1" s="1"/>
  <c r="E67" i="1"/>
  <c r="F67" i="1"/>
  <c r="B68" i="1"/>
  <c r="D68" i="1"/>
  <c r="E68" i="1"/>
  <c r="F68" i="1"/>
  <c r="B69" i="1"/>
  <c r="E69" i="1"/>
  <c r="F69" i="1"/>
  <c r="B70" i="1"/>
  <c r="E70" i="1"/>
  <c r="F70" i="1"/>
  <c r="E73" i="1"/>
  <c r="D90" i="1"/>
  <c r="D94" i="1" s="1"/>
  <c r="D91" i="1"/>
  <c r="D92" i="1"/>
  <c r="D93" i="1"/>
  <c r="G116" i="1" s="1"/>
  <c r="C96" i="1"/>
  <c r="D96" i="1"/>
  <c r="E96" i="1"/>
  <c r="F96" i="1"/>
  <c r="F104" i="1" s="1"/>
  <c r="G96" i="1"/>
  <c r="H96" i="1"/>
  <c r="I96" i="1"/>
  <c r="J96" i="1"/>
  <c r="K96" i="1"/>
  <c r="L96" i="1"/>
  <c r="C104" i="1"/>
  <c r="D104" i="1" s="1"/>
  <c r="E104" i="1" s="1"/>
  <c r="D109" i="1"/>
  <c r="G109" i="1"/>
  <c r="I109" i="1"/>
  <c r="J109" i="1"/>
  <c r="K109" i="1"/>
  <c r="L109" i="1"/>
  <c r="C113" i="1"/>
  <c r="D113" i="1" s="1"/>
  <c r="C115" i="1"/>
  <c r="D115" i="1"/>
  <c r="E115" i="1"/>
  <c r="F115" i="1"/>
  <c r="G115" i="1"/>
  <c r="H115" i="1"/>
  <c r="I115" i="1"/>
  <c r="J115" i="1"/>
  <c r="K115" i="1"/>
  <c r="L115" i="1"/>
  <c r="M115" i="1" s="1"/>
  <c r="C116" i="1"/>
  <c r="D116" i="1"/>
  <c r="E116" i="1"/>
  <c r="F116" i="1"/>
  <c r="E120" i="1"/>
  <c r="E122" i="1"/>
  <c r="E126" i="1" s="1"/>
  <c r="E123" i="1"/>
  <c r="E124" i="1"/>
  <c r="E125" i="1"/>
  <c r="F132" i="1"/>
  <c r="J116" i="1" l="1"/>
  <c r="H116" i="1"/>
  <c r="I116" i="1"/>
  <c r="K116" i="1"/>
  <c r="L116" i="1"/>
  <c r="M116" i="1" s="1"/>
  <c r="E113" i="1"/>
  <c r="D114" i="1"/>
  <c r="D117" i="1" s="1"/>
  <c r="C114" i="1"/>
  <c r="C117" i="1" s="1"/>
  <c r="C118" i="1" s="1"/>
  <c r="F18" i="9"/>
  <c r="H109" i="1"/>
  <c r="F109" i="1"/>
  <c r="E109" i="1"/>
  <c r="C97" i="1"/>
  <c r="C109" i="1"/>
  <c r="C99" i="1"/>
  <c r="G104" i="1"/>
  <c r="H104" i="1" s="1"/>
  <c r="I104" i="1" s="1"/>
  <c r="J104" i="1" s="1"/>
  <c r="K104" i="1" s="1"/>
  <c r="L104" i="1" s="1"/>
  <c r="D118" i="1" l="1"/>
  <c r="E118" i="1" s="1"/>
  <c r="D97" i="1"/>
  <c r="E114" i="1"/>
  <c r="E117" i="1" s="1"/>
  <c r="F113" i="1"/>
  <c r="C98" i="1"/>
  <c r="D99" i="1"/>
  <c r="C103" i="1"/>
  <c r="C100" i="1"/>
  <c r="C101" i="1" l="1"/>
  <c r="C112" i="1" s="1"/>
  <c r="C108" i="1"/>
  <c r="C102" i="1"/>
  <c r="C106" i="1" s="1"/>
  <c r="F114" i="1"/>
  <c r="F117" i="1" s="1"/>
  <c r="G113" i="1"/>
  <c r="E97" i="1"/>
  <c r="D105" i="1"/>
  <c r="D98" i="1"/>
  <c r="D100" i="1" s="1"/>
  <c r="F118" i="1"/>
  <c r="D103" i="1"/>
  <c r="E99" i="1"/>
  <c r="D101" i="1" l="1"/>
  <c r="D112" i="1" s="1"/>
  <c r="F97" i="1"/>
  <c r="E98" i="1"/>
  <c r="E100" i="1" s="1"/>
  <c r="E105" i="1"/>
  <c r="D108" i="1"/>
  <c r="J113" i="1"/>
  <c r="J114" i="1" s="1"/>
  <c r="J117" i="1" s="1"/>
  <c r="G114" i="1"/>
  <c r="G117" i="1" s="1"/>
  <c r="G118" i="1" s="1"/>
  <c r="H118" i="1" s="1"/>
  <c r="I118" i="1" s="1"/>
  <c r="J118" i="1" s="1"/>
  <c r="K118" i="1" s="1"/>
  <c r="H113" i="1"/>
  <c r="H114" i="1" s="1"/>
  <c r="H117" i="1" s="1"/>
  <c r="I113" i="1"/>
  <c r="I114" i="1" s="1"/>
  <c r="I117" i="1" s="1"/>
  <c r="K113" i="1"/>
  <c r="K114" i="1" s="1"/>
  <c r="K117" i="1" s="1"/>
  <c r="L113" i="1"/>
  <c r="B2" i="2"/>
  <c r="C107" i="1"/>
  <c r="E103" i="1"/>
  <c r="F99" i="1"/>
  <c r="E101" i="1" l="1"/>
  <c r="E112" i="1" s="1"/>
  <c r="L118" i="1"/>
  <c r="F103" i="1"/>
  <c r="G99" i="1"/>
  <c r="G97" i="1"/>
  <c r="F105" i="1"/>
  <c r="F98" i="1"/>
  <c r="F100" i="1" s="1"/>
  <c r="D2" i="2"/>
  <c r="E108" i="1"/>
  <c r="L114" i="1"/>
  <c r="L117" i="1" s="1"/>
  <c r="M113" i="1"/>
  <c r="M114" i="1" s="1"/>
  <c r="M117" i="1" s="1"/>
  <c r="D102" i="1"/>
  <c r="D106" i="1" s="1"/>
  <c r="F101" i="1" l="1"/>
  <c r="F112" i="1" s="1"/>
  <c r="G103" i="1"/>
  <c r="H99" i="1"/>
  <c r="F108" i="1"/>
  <c r="B3" i="2"/>
  <c r="D107" i="1"/>
  <c r="H97" i="1"/>
  <c r="G98" i="1"/>
  <c r="G100" i="1" s="1"/>
  <c r="G105" i="1"/>
  <c r="E102" i="1"/>
  <c r="E106" i="1" s="1"/>
  <c r="G101" i="1" l="1"/>
  <c r="G112" i="1" s="1"/>
  <c r="D3" i="2"/>
  <c r="H103" i="1"/>
  <c r="I99" i="1"/>
  <c r="I97" i="1"/>
  <c r="H105" i="1"/>
  <c r="H98" i="1"/>
  <c r="H100" i="1" s="1"/>
  <c r="G108" i="1"/>
  <c r="E107" i="1"/>
  <c r="D4" i="2" s="1"/>
  <c r="B4" i="2"/>
  <c r="F102" i="1"/>
  <c r="F106" i="1" s="1"/>
  <c r="H101" i="1" l="1"/>
  <c r="H112" i="1" s="1"/>
  <c r="I98" i="1"/>
  <c r="I100" i="1" s="1"/>
  <c r="I105" i="1"/>
  <c r="J97" i="1"/>
  <c r="B5" i="2"/>
  <c r="F107" i="1"/>
  <c r="G102" i="1"/>
  <c r="G106" i="1" s="1"/>
  <c r="H108" i="1"/>
  <c r="I103" i="1"/>
  <c r="J99" i="1"/>
  <c r="I101" i="1" l="1"/>
  <c r="I112" i="1" s="1"/>
  <c r="I102" i="1"/>
  <c r="I106" i="1" s="1"/>
  <c r="B6" i="2"/>
  <c r="G107" i="1"/>
  <c r="D6" i="2" s="1"/>
  <c r="J105" i="1"/>
  <c r="J100" i="1"/>
  <c r="J98" i="1"/>
  <c r="K97" i="1"/>
  <c r="I108" i="1"/>
  <c r="J108" i="1" s="1"/>
  <c r="D5" i="2"/>
  <c r="J103" i="1"/>
  <c r="K99" i="1"/>
  <c r="H102" i="1"/>
  <c r="H106" i="1" s="1"/>
  <c r="J101" i="1" l="1"/>
  <c r="J112" i="1" s="1"/>
  <c r="H107" i="1"/>
  <c r="B7" i="2"/>
  <c r="B8" i="2"/>
  <c r="I107" i="1"/>
  <c r="D8" i="2" s="1"/>
  <c r="K105" i="1"/>
  <c r="K98" i="1"/>
  <c r="K100" i="1" s="1"/>
  <c r="L97" i="1"/>
  <c r="K103" i="1"/>
  <c r="L99" i="1"/>
  <c r="L103" i="1" s="1"/>
  <c r="M99" i="1"/>
  <c r="M103" i="1" s="1"/>
  <c r="M104" i="1" s="1"/>
  <c r="K102" i="1" l="1"/>
  <c r="K106" i="1" s="1"/>
  <c r="K101" i="1"/>
  <c r="K112" i="1" s="1"/>
  <c r="K108" i="1"/>
  <c r="C71" i="1"/>
  <c r="L105" i="1"/>
  <c r="L98" i="1"/>
  <c r="L100" i="1"/>
  <c r="M97" i="1"/>
  <c r="D7" i="2"/>
  <c r="J102" i="1"/>
  <c r="J106" i="1" s="1"/>
  <c r="M98" i="1" l="1"/>
  <c r="M105" i="1"/>
  <c r="M100" i="1"/>
  <c r="J107" i="1"/>
  <c r="B9" i="2"/>
  <c r="L108" i="1"/>
  <c r="L101" i="1"/>
  <c r="L112" i="1" s="1"/>
  <c r="K107" i="1"/>
  <c r="D10" i="2" s="1"/>
  <c r="B10" i="2"/>
  <c r="M101" i="1" l="1"/>
  <c r="M112" i="1" s="1"/>
  <c r="L102" i="1"/>
  <c r="L106" i="1" s="1"/>
  <c r="D9" i="2"/>
  <c r="L107" i="1" l="1"/>
  <c r="B11" i="2"/>
  <c r="M102" i="1"/>
  <c r="M106" i="1" s="1"/>
  <c r="E121" i="1" s="1"/>
  <c r="E127" i="1" s="1"/>
  <c r="F130" i="1" l="1"/>
  <c r="C11" i="2"/>
  <c r="D11" i="2"/>
  <c r="D12" i="2" s="1"/>
  <c r="F129" i="1"/>
  <c r="F131" i="1" s="1"/>
  <c r="F133" i="1" s="1"/>
  <c r="C15" i="9" l="1"/>
  <c r="B20" i="9"/>
  <c r="B21" i="9"/>
  <c r="B23" i="9"/>
  <c r="B24" i="9"/>
  <c r="C26" i="9"/>
  <c r="C28" i="9"/>
  <c r="F134" i="1"/>
  <c r="F135" i="1"/>
  <c r="F136" i="1"/>
</calcChain>
</file>

<file path=xl/comments1.xml><?xml version="1.0" encoding="utf-8"?>
<comments xmlns="http://schemas.openxmlformats.org/spreadsheetml/2006/main">
  <authors>
    <author>Aswath Damodaran</author>
  </authors>
  <commentList>
    <comment ref="D59" authorId="0" shapeId="0">
      <text>
        <r>
          <rPr>
            <b/>
            <sz val="9"/>
            <color indexed="81"/>
            <rFont val="Geneva"/>
          </rPr>
          <t>Dennis Iweze:</t>
        </r>
        <r>
          <rPr>
            <sz val="9"/>
            <color indexed="81"/>
            <rFont val="Geneva"/>
          </rPr>
          <t xml:space="preserve">
These are operating expenses, prior to depreciation. This number should be (1-EBITDA/Sales)</t>
        </r>
      </text>
    </comment>
  </commentList>
</comments>
</file>

<file path=xl/sharedStrings.xml><?xml version="1.0" encoding="utf-8"?>
<sst xmlns="http://schemas.openxmlformats.org/spreadsheetml/2006/main" count="191" uniqueCount="156">
  <si>
    <t>Chg. Working Capital =</t>
  </si>
  <si>
    <t>Book Value of Debt =</t>
  </si>
  <si>
    <t>Book Value of Equity =</t>
  </si>
  <si>
    <t>Weights on Debt and Equity</t>
  </si>
  <si>
    <t>Is the firm publicly traded ?</t>
  </si>
  <si>
    <t>Yes</t>
  </si>
  <si>
    <t>( Yes or No)</t>
  </si>
  <si>
    <t>If yes, enter the market price per share =</t>
  </si>
  <si>
    <t xml:space="preserve">      &amp; Number of shares outstanding  =</t>
  </si>
  <si>
    <t>(in #)</t>
  </si>
  <si>
    <t xml:space="preserve">      &amp; Market Value of Debt =</t>
  </si>
  <si>
    <t>(Yes or No)</t>
  </si>
  <si>
    <t>If no, enter the debt to capital ratio to be used =</t>
  </si>
  <si>
    <t>Enter length of extraordinary growth period =</t>
  </si>
  <si>
    <t>(in years)</t>
  </si>
  <si>
    <t>Costs of Components</t>
  </si>
  <si>
    <t>Do you want to enter cost of equity directly?</t>
  </si>
  <si>
    <t>No</t>
  </si>
  <si>
    <t>If yes, enter the cost of equity =</t>
  </si>
  <si>
    <t>If no, enter the inputs to the cost of equity</t>
  </si>
  <si>
    <t>Beta of the stock =</t>
  </si>
  <si>
    <t>Riskfree rate=</t>
  </si>
  <si>
    <t>Risk Premium=</t>
  </si>
  <si>
    <t>Enter the cost of debt for cost of capital calculation</t>
  </si>
  <si>
    <t>( in percent)</t>
  </si>
  <si>
    <t>Earnings Inputs</t>
  </si>
  <si>
    <t>Please enter year-specific inputs for each of the following variables:</t>
  </si>
  <si>
    <t>Year</t>
  </si>
  <si>
    <t>Growth Rate in</t>
  </si>
  <si>
    <t>Working Capital</t>
  </si>
  <si>
    <t>Revenue</t>
  </si>
  <si>
    <t xml:space="preserve">Operating Expense </t>
  </si>
  <si>
    <t>If not publicly traded, do you want to use the book value debt ratio ?</t>
  </si>
  <si>
    <t>NOL carried forward =</t>
  </si>
  <si>
    <t>FCFF</t>
  </si>
  <si>
    <t>Terminal Value</t>
  </si>
  <si>
    <t>NOL</t>
  </si>
  <si>
    <t>Value of Equity per Share =</t>
  </si>
  <si>
    <t>Compounded Avg</t>
  </si>
  <si>
    <t>Assumptions</t>
  </si>
  <si>
    <t>1. The firm is expected to grow at a higher growth rate in the first period.</t>
  </si>
  <si>
    <t>2. The growth rate will drop at the end of the first period to the stable growth rate.</t>
  </si>
  <si>
    <t>3. The free cashflow to equity is the correct measure of expected cashflows to stockholders.</t>
  </si>
  <si>
    <t>The user has to define the following inputs:</t>
  </si>
  <si>
    <t>1. Length of high growth period</t>
  </si>
  <si>
    <t>2. Expected growth rate in earnings during the high growth period.</t>
  </si>
  <si>
    <t>3. Capital Spending, Depreciation and Working Capital needs during the high growth period.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</si>
  <si>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</si>
  <si>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</si>
  <si>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</si>
  <si>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</si>
  <si>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</si>
  <si>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</si>
  <si>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</si>
  <si>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warrants (options) outstanding =</t>
  </si>
  <si>
    <t>Enter the number of shares outstanding =</t>
  </si>
  <si>
    <t>Revenue Growth</t>
  </si>
  <si>
    <t>EBITDA/Sales</t>
  </si>
  <si>
    <t>Value per Share</t>
  </si>
  <si>
    <t>After-tax Cost of debt =</t>
  </si>
  <si>
    <t>Debt/(Debt +Equity) =</t>
  </si>
  <si>
    <t>Cost of Capital =</t>
  </si>
  <si>
    <t>Terminal Year</t>
  </si>
  <si>
    <t>Revenues</t>
  </si>
  <si>
    <t xml:space="preserve"> - COGS</t>
  </si>
  <si>
    <t xml:space="preserve"> - Depreciation</t>
  </si>
  <si>
    <t>EBIT</t>
  </si>
  <si>
    <t xml:space="preserve"> - EBIT*t</t>
  </si>
  <si>
    <t>EBIT (1-t)</t>
  </si>
  <si>
    <t xml:space="preserve"> + Depreciation</t>
  </si>
  <si>
    <t xml:space="preserve"> - Capital Spending</t>
  </si>
  <si>
    <t xml:space="preserve"> -  Chg. Working Capital</t>
  </si>
  <si>
    <t>Free CF to Firm</t>
  </si>
  <si>
    <t>Present Value</t>
  </si>
  <si>
    <t>Index</t>
  </si>
  <si>
    <t>Growth Rate in Stable Phase =</t>
  </si>
  <si>
    <t>FCFF in Stable Phase =</t>
  </si>
  <si>
    <t>Cost of Equity in Stable Phase =</t>
  </si>
  <si>
    <t>Equity/ (Equity + Debt) =</t>
  </si>
  <si>
    <t>AT Cost of Debt in Stable Phase =</t>
  </si>
  <si>
    <t>Beta</t>
  </si>
  <si>
    <t>A General FCFF Valuation Model</t>
  </si>
  <si>
    <t>This model is designed to value a firm, with changing margins, revenue growth,</t>
  </si>
  <si>
    <t>and other parameters.</t>
  </si>
  <si>
    <t>An n-stage Model</t>
  </si>
  <si>
    <t>Debt/ (Equity + Debt)  =</t>
  </si>
  <si>
    <t>Cost of Capital in Stable Phase =</t>
  </si>
  <si>
    <t>Value at the end of growth phase =</t>
  </si>
  <si>
    <t>Present Value of FCFF in high growth phase =</t>
  </si>
  <si>
    <t>Present Value of Terminal Value of Firm =</t>
  </si>
  <si>
    <t>Value of the firm =</t>
  </si>
  <si>
    <t>Market Value of Debt =</t>
  </si>
  <si>
    <t>Market Value of Equity =</t>
  </si>
  <si>
    <t>Current Working Capital =</t>
  </si>
  <si>
    <t>VALUING WARRANTS WHEN THERE IS DILUTION</t>
  </si>
  <si>
    <t>Stock Price=</t>
  </si>
  <si>
    <t># Warrants issued=</t>
  </si>
  <si>
    <t>Strike Price=</t>
  </si>
  <si>
    <t># Shares outstanding=</t>
  </si>
  <si>
    <t>Adjusted S (DO NOT ENTER)=</t>
  </si>
  <si>
    <t>T.Bond rate=</t>
  </si>
  <si>
    <t>Adjusted K (DO NOT ENTER)=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</si>
  <si>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</si>
  <si>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</si>
  <si>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</si>
  <si>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</si>
  <si>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</si>
  <si>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</si>
  <si>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</si>
  <si>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</si>
  <si>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of the call = </t>
  </si>
  <si>
    <t>Valuing Options or Warrants when there is dilution</t>
  </si>
  <si>
    <t>Number of Options =</t>
  </si>
  <si>
    <t>Value of Options =</t>
  </si>
  <si>
    <t>Value of Options Outstanding (See option worksheet) =</t>
  </si>
  <si>
    <t>Value of Equity in Common Stock =</t>
  </si>
  <si>
    <t>4. Expected growth rate in earnings during the stable growth period.</t>
  </si>
  <si>
    <t>5. Inputs for the cost of capital. (Cost of equity, Cost of debt, Weights on debt and equity)</t>
  </si>
  <si>
    <t>Inputs to the model</t>
  </si>
  <si>
    <t>Current EBIT =</t>
  </si>
  <si>
    <t>(in currency)</t>
  </si>
  <si>
    <t>Current Net Income =</t>
  </si>
  <si>
    <t>Current Dividends =</t>
  </si>
  <si>
    <t>( in currency)</t>
  </si>
  <si>
    <t>Current Interest Expense =</t>
  </si>
  <si>
    <t>Current Capital Spending</t>
  </si>
  <si>
    <t>Current Depreciation =</t>
  </si>
  <si>
    <t>Tax Rate on Income =</t>
  </si>
  <si>
    <t>(in percent)</t>
  </si>
  <si>
    <t>Current Revenues =</t>
  </si>
  <si>
    <t>Enter operating expenses as % of Revenue in stable phase</t>
  </si>
  <si>
    <t>Capital Spending</t>
  </si>
  <si>
    <t>Depreciation</t>
  </si>
  <si>
    <t>as % of Revenue</t>
  </si>
  <si>
    <t>Enter growth rate in stable growth period</t>
  </si>
  <si>
    <t>Enter Working Capital as % of Revenue in stable phase</t>
  </si>
  <si>
    <t>Will the beta change in the stable period?</t>
  </si>
  <si>
    <t>If yes, enter the beta for stable period =</t>
  </si>
  <si>
    <t>Do you want to change the debt ratio in the stable growth period?</t>
  </si>
  <si>
    <t>If yes, enter the debt ratio for the stable growth period =</t>
  </si>
  <si>
    <t>Will the cost of debt change in the stable period?</t>
  </si>
  <si>
    <t>If yes, enter the new cost of debt  =</t>
  </si>
  <si>
    <t>Capital Spending and Depreciation in Stable growth period</t>
  </si>
  <si>
    <t>Is capital spending to be offset by depreciation in stable period?</t>
  </si>
  <si>
    <t>If no, enter capital expenditures as % of depreciation in steady state:</t>
  </si>
  <si>
    <t xml:space="preserve"> (in percent: &gt; 100%)</t>
  </si>
  <si>
    <t>Cost of Capital Computation</t>
  </si>
  <si>
    <t>Cost of Equity</t>
  </si>
  <si>
    <t>Cost of Debt</t>
  </si>
  <si>
    <t>Debt Ratio</t>
  </si>
  <si>
    <t>Cost of Capital</t>
  </si>
  <si>
    <t>Cum. WACC</t>
  </si>
  <si>
    <t>Output from the program</t>
  </si>
  <si>
    <t>Cost of Equity =</t>
  </si>
  <si>
    <t>Equity/(Debt+Equity ) =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</si>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</sst>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7" formatCode="&quot;$&quot;#,##0.00_);[Red]\(&quot;$&quot;#,##0.00\)"/>
    <numFmt numFmtId="177" formatCode="#,##0.0000"/>
    <numFmt numFmtId="178" formatCode="#,##0.00000"/>
  </numFmts>
  <fonts count="16">
    <font>
      <sz val="10"/>
      <name val="Geneva"/>
    </font>
    <font>
      <sz val="10"/>
      <name val="Geneva"/>
    </font>
    <font>
      <sz val="18"/>
      <name val="Times"/>
    </font>
    <font>
      <sz val="14"/>
      <name val="Times"/>
    </font>
    <font>
      <b/>
      <sz val="14"/>
      <name val="Times"/>
    </font>
    <font>
      <b/>
      <sz val="14"/>
      <name val="Geneva"/>
    </font>
    <font>
      <sz val="10"/>
      <name val="Times"/>
    </font>
    <font>
      <b/>
      <sz val="10"/>
      <name val="Times"/>
    </font>
    <font>
      <sz val="8"/>
      <name val="Geneva"/>
    </font>
    <font>
      <sz val="8"/>
      <name val="Geneva"/>
    </font>
    <font>
      <sz val="8"/>
      <name val="Geneva"/>
    </font>
    <font>
      <sz val="8"/>
      <name val="Geneva"/>
    </font>
    <font>
      <sz val="9"/>
      <color indexed="81"/>
      <name val="Geneva"/>
    </font>
    <font>
      <b/>
      <sz val="9"/>
      <color indexed="81"/>
      <name val="Geneva"/>
    </font>
    <font>
      <b/>
      <i/>
      <sz val="10"/>
      <name val="Times"/>
    </font>
    <font>
      <i/>
      <sz val="10"/>
      <name val="Times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167" fontId="0" fillId="0" borderId="0" xfId="0" applyNumberForma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1" xfId="3" applyNumberFormat="1" applyFont="1" applyBorder="1"/>
    <xf numFmtId="10" fontId="0" fillId="0" borderId="1" xfId="0" applyNumberFormat="1" applyBorder="1"/>
    <xf numFmtId="0" fontId="7" fillId="0" borderId="0" xfId="0" applyFont="1"/>
    <xf numFmtId="0" fontId="7" fillId="0" borderId="1" xfId="0" applyFont="1" applyBorder="1"/>
    <xf numFmtId="0" fontId="6" fillId="0" borderId="1" xfId="0" applyFont="1" applyBorder="1"/>
    <xf numFmtId="10" fontId="7" fillId="0" borderId="0" xfId="0" applyNumberFormat="1" applyFont="1"/>
    <xf numFmtId="3" fontId="6" fillId="0" borderId="1" xfId="0" applyNumberFormat="1" applyFont="1" applyBorder="1"/>
    <xf numFmtId="10" fontId="7" fillId="0" borderId="1" xfId="0" applyNumberFormat="1" applyFont="1" applyBorder="1"/>
    <xf numFmtId="177" fontId="7" fillId="0" borderId="1" xfId="1" applyNumberFormat="1" applyFont="1" applyBorder="1"/>
    <xf numFmtId="10" fontId="6" fillId="0" borderId="1" xfId="0" applyNumberFormat="1" applyFont="1" applyBorder="1"/>
    <xf numFmtId="0" fontId="3" fillId="0" borderId="0" xfId="0" applyFont="1"/>
    <xf numFmtId="167" fontId="3" fillId="0" borderId="0" xfId="0" applyNumberFormat="1" applyFont="1"/>
    <xf numFmtId="167" fontId="3" fillId="0" borderId="0" xfId="2" applyFont="1"/>
    <xf numFmtId="167" fontId="4" fillId="0" borderId="2" xfId="2" applyFont="1" applyBorder="1"/>
    <xf numFmtId="0" fontId="4" fillId="0" borderId="1" xfId="0" applyFont="1" applyBorder="1"/>
    <xf numFmtId="167" fontId="4" fillId="0" borderId="1" xfId="0" applyNumberFormat="1" applyFont="1" applyBorder="1"/>
    <xf numFmtId="167" fontId="0" fillId="0" borderId="1" xfId="2" applyFont="1" applyBorder="1"/>
    <xf numFmtId="2" fontId="0" fillId="0" borderId="1" xfId="0" applyNumberFormat="1" applyBorder="1"/>
    <xf numFmtId="9" fontId="0" fillId="0" borderId="0" xfId="0" applyNumberForma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14" fillId="0" borderId="0" xfId="0" applyFont="1"/>
    <xf numFmtId="9" fontId="6" fillId="0" borderId="0" xfId="3" applyFont="1"/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0" xfId="3" applyNumberFormat="1" applyFont="1" applyAlignment="1">
      <alignment horizontal="center"/>
    </xf>
    <xf numFmtId="0" fontId="7" fillId="0" borderId="0" xfId="0" applyFont="1" applyAlignment="1">
      <alignment horizontal="centerContinuous"/>
    </xf>
    <xf numFmtId="167" fontId="6" fillId="0" borderId="1" xfId="2" applyFont="1" applyBorder="1" applyAlignment="1">
      <alignment horizontal="center"/>
    </xf>
    <xf numFmtId="167" fontId="6" fillId="0" borderId="0" xfId="2" applyFont="1" applyAlignment="1">
      <alignment horizontal="center"/>
    </xf>
    <xf numFmtId="167" fontId="14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167" fontId="6" fillId="0" borderId="0" xfId="2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15" fillId="0" borderId="0" xfId="0" applyFont="1"/>
    <xf numFmtId="0" fontId="6" fillId="0" borderId="9" xfId="0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6" fillId="0" borderId="0" xfId="0" applyFont="1" applyBorder="1"/>
    <xf numFmtId="167" fontId="6" fillId="0" borderId="0" xfId="0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178" fontId="6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7" fontId="7" fillId="0" borderId="1" xfId="2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7" fontId="6" fillId="2" borderId="1" xfId="2" applyFont="1" applyFill="1" applyBorder="1" applyAlignment="1">
      <alignment horizontal="center"/>
    </xf>
    <xf numFmtId="10" fontId="6" fillId="2" borderId="1" xfId="2" applyNumberFormat="1" applyFont="1" applyFill="1" applyBorder="1" applyAlignment="1">
      <alignment horizontal="center"/>
    </xf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</xf>
    <xf numFmtId="1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9" fontId="6" fillId="2" borderId="1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GB"/>
              <a:t>Value and Revenue Growth</a:t>
            </a:r>
          </a:p>
        </c:rich>
      </c:tx>
      <c:layout>
        <c:manualLayout>
          <c:xMode val="edge"/>
          <c:yMode val="edge"/>
          <c:x val="0.41887417218543055"/>
          <c:y val="2.035278154681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423841059602648E-2"/>
          <c:y val="0.101763907734057"/>
          <c:w val="0.95447019867549665"/>
          <c:h val="0.841248303934871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'What-If'!$B$1</c:f>
              <c:strCache>
                <c:ptCount val="1"/>
                <c:pt idx="0">
                  <c:v>Value per Share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'What-If'!$A$2:$A$4</c:f>
              <c:numCache>
                <c:formatCode>0%</c:formatCode>
                <c:ptCount val="3"/>
                <c:pt idx="0">
                  <c:v>0.41</c:v>
                </c:pt>
                <c:pt idx="1">
                  <c:v>0.45</c:v>
                </c:pt>
                <c:pt idx="2">
                  <c:v>0.5</c:v>
                </c:pt>
              </c:numCache>
            </c:numRef>
          </c:cat>
          <c:val>
            <c:numRef>
              <c:f>'What-If'!$B$2:$B$4</c:f>
              <c:numCache>
                <c:formatCode>General</c:formatCode>
                <c:ptCount val="3"/>
                <c:pt idx="0">
                  <c:v>37.97</c:v>
                </c:pt>
                <c:pt idx="1">
                  <c:v>61.43</c:v>
                </c:pt>
                <c:pt idx="2">
                  <c:v>96.59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B-431F-92C9-01300ED55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844111"/>
        <c:axId val="1"/>
      </c:barChart>
      <c:catAx>
        <c:axId val="61084411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1084411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GB"/>
              <a:t>Value per Share and EBITDA Margins</a:t>
            </a:r>
          </a:p>
        </c:rich>
      </c:tx>
      <c:layout>
        <c:manualLayout>
          <c:xMode val="edge"/>
          <c:yMode val="edge"/>
          <c:x val="0.39238410596026496"/>
          <c:y val="2.035278154681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29139072847689E-2"/>
          <c:y val="0.101763907734057"/>
          <c:w val="0.86175496688741726"/>
          <c:h val="0.841248303934871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'What-If'!$B$6</c:f>
              <c:strCache>
                <c:ptCount val="1"/>
                <c:pt idx="0">
                  <c:v>Value per Share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'What-If'!$A$7:$A$11</c:f>
              <c:numCache>
                <c:formatCode>0%</c:formatCode>
                <c:ptCount val="5"/>
                <c:pt idx="0">
                  <c:v>0.06</c:v>
                </c:pt>
                <c:pt idx="1">
                  <c:v>0.08</c:v>
                </c:pt>
                <c:pt idx="2">
                  <c:v>0.1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cat>
          <c:val>
            <c:numRef>
              <c:f>'What-If'!$B$7:$B$11</c:f>
              <c:numCache>
                <c:formatCode>General</c:formatCode>
                <c:ptCount val="5"/>
                <c:pt idx="0">
                  <c:v>7.59</c:v>
                </c:pt>
                <c:pt idx="1">
                  <c:v>22.67</c:v>
                </c:pt>
                <c:pt idx="2">
                  <c:v>37.74</c:v>
                </c:pt>
                <c:pt idx="3">
                  <c:v>52.81</c:v>
                </c:pt>
                <c:pt idx="4">
                  <c:v>67.89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C-4DC8-B93B-E7E62C17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89103"/>
        <c:axId val="1"/>
      </c:barChart>
      <c:catAx>
        <c:axId val="986389103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98638910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1456953642385"/>
          <c:y val="0.5074626865671642"/>
          <c:w val="9.35430463576159E-2"/>
          <c:h val="2.985074626865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5" right="0.75" top="1" bottom="1" header="0.5" footer="0.5"/>
  <pageSetup paperSize="9" orientation="landscape" horizontalDpi="4294967292" verticalDpi="4294967292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5" right="0.75" top="1" bottom="1" header="0.5" footer="0.5"/>
  <pageSetup paperSize="9" orientation="landscape" horizontalDpi="4294967292" verticalDpi="4294967292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7047D-AD3C-CE32-6675-75B65653A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913018-A612-43EC-C3A2-93AF51E009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2"/>
    </sheetView>
  </sheetViews>
  <sheetFormatPr defaultRowHeight="13.2"/>
  <cols>
    <col min="1" max="2" width="11.5546875" customWidth="1"/>
    <col min="3" max="3" width="10.88671875" bestFit="1" customWidth="1"/>
    <col min="4" max="256" width="11.5546875" customWidth="1"/>
  </cols>
  <sheetData>
    <row r="1" spans="1:4">
      <c r="A1" t="s">
        <v>27</v>
      </c>
      <c r="B1" t="s">
        <v>34</v>
      </c>
      <c r="C1" t="s">
        <v>35</v>
      </c>
      <c r="D1" t="s">
        <v>73</v>
      </c>
    </row>
    <row r="2" spans="1:4">
      <c r="A2">
        <v>1</v>
      </c>
      <c r="B2" s="4">
        <f>'The Valuation of Amazon'!C106</f>
        <v>-893.80666666666616</v>
      </c>
      <c r="D2" s="4">
        <f>'The Valuation of Amazon'!C107</f>
        <v>-792.33083125940948</v>
      </c>
    </row>
    <row r="3" spans="1:4">
      <c r="A3">
        <v>2</v>
      </c>
      <c r="B3" s="4">
        <f>'The Valuation of Amazon'!D106</f>
        <v>-832.4749999999998</v>
      </c>
      <c r="D3" s="4">
        <f>'The Valuation of Amazon'!D107</f>
        <v>-654.17980346323122</v>
      </c>
    </row>
    <row r="4" spans="1:4">
      <c r="A4">
        <v>3</v>
      </c>
      <c r="B4" s="4">
        <f>'The Valuation of Amazon'!E106</f>
        <v>-953.76250000000005</v>
      </c>
      <c r="D4" s="4">
        <f>'The Valuation of Amazon'!E107</f>
        <v>-664.39926095116869</v>
      </c>
    </row>
    <row r="5" spans="1:4">
      <c r="A5">
        <v>4</v>
      </c>
      <c r="B5" s="4">
        <f>'The Valuation of Amazon'!F106</f>
        <v>-1036.7811999999994</v>
      </c>
      <c r="D5" s="4">
        <f>'The Valuation of Amazon'!F107</f>
        <v>-640.23435883151342</v>
      </c>
    </row>
    <row r="6" spans="1:4">
      <c r="A6">
        <v>5</v>
      </c>
      <c r="B6" s="4">
        <f>'The Valuation of Amazon'!G106</f>
        <v>-999.05393979999963</v>
      </c>
      <c r="D6" s="4">
        <f>'The Valuation of Amazon'!G107</f>
        <v>-546.89476536239874</v>
      </c>
    </row>
    <row r="7" spans="1:4">
      <c r="A7">
        <v>6</v>
      </c>
      <c r="B7" s="4">
        <f>'The Valuation of Amazon'!H106</f>
        <v>-728.08278240879918</v>
      </c>
      <c r="D7" s="4">
        <f>'The Valuation of Amazon'!H107</f>
        <v>-355.43397281835735</v>
      </c>
    </row>
    <row r="8" spans="1:4">
      <c r="A8">
        <v>7</v>
      </c>
      <c r="B8" s="4">
        <f>'The Valuation of Amazon'!I106</f>
        <v>-250.96684922894849</v>
      </c>
      <c r="D8" s="4">
        <f>'The Valuation of Amazon'!I107</f>
        <v>-109.89317673232217</v>
      </c>
    </row>
    <row r="9" spans="1:4">
      <c r="A9">
        <v>8</v>
      </c>
      <c r="B9" s="4">
        <f>'The Valuation of Amazon'!J106</f>
        <v>-344.39609856645507</v>
      </c>
      <c r="D9" s="4">
        <f>'The Valuation of Amazon'!J107</f>
        <v>-136.0230442130833</v>
      </c>
    </row>
    <row r="10" spans="1:4">
      <c r="A10">
        <v>9</v>
      </c>
      <c r="B10" s="4">
        <f>'The Valuation of Amazon'!K106</f>
        <v>-127.69064067989737</v>
      </c>
      <c r="D10" s="4">
        <f>'The Valuation of Amazon'!K107</f>
        <v>-45.734739097340963</v>
      </c>
    </row>
    <row r="11" spans="1:4">
      <c r="A11">
        <v>10</v>
      </c>
      <c r="B11" s="4">
        <f>'The Valuation of Amazon'!L106</f>
        <v>318.13322255028629</v>
      </c>
      <c r="C11" s="4">
        <f>'The Valuation of Amazon'!E127</f>
        <v>60899.332427932044</v>
      </c>
      <c r="D11" s="4">
        <f>'The Valuation of Amazon'!L107+'The Valuation of Amazon'!F130</f>
        <v>19986.468542239174</v>
      </c>
    </row>
    <row r="12" spans="1:4">
      <c r="D12" s="4">
        <f>SUM(D2:D11)</f>
        <v>16041.344589510349</v>
      </c>
    </row>
    <row r="13" spans="1:4">
      <c r="D13" s="4"/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4" sqref="D4"/>
    </sheetView>
  </sheetViews>
  <sheetFormatPr defaultRowHeight="13.2"/>
  <cols>
    <col min="1" max="2" width="11.5546875" customWidth="1"/>
    <col min="3" max="3" width="11.88671875" bestFit="1" customWidth="1"/>
    <col min="4" max="256" width="11.5546875" customWidth="1"/>
  </cols>
  <sheetData>
    <row r="1" spans="1:7" s="7" customFormat="1" ht="17.399999999999999">
      <c r="A1" s="6" t="s">
        <v>111</v>
      </c>
      <c r="B1" s="6"/>
    </row>
    <row r="2" spans="1:7">
      <c r="A2" s="8" t="s">
        <v>47</v>
      </c>
      <c r="B2" s="8"/>
      <c r="D2" s="25">
        <f>'The Valuation of Amazon'!F38</f>
        <v>84</v>
      </c>
    </row>
    <row r="3" spans="1:7">
      <c r="A3" s="8" t="s">
        <v>48</v>
      </c>
      <c r="B3" s="8"/>
      <c r="D3" s="5">
        <v>13.375</v>
      </c>
    </row>
    <row r="4" spans="1:7">
      <c r="A4" s="8" t="s">
        <v>49</v>
      </c>
      <c r="B4" s="8"/>
      <c r="D4" s="5">
        <v>8.4</v>
      </c>
    </row>
    <row r="5" spans="1:7">
      <c r="A5" s="8" t="s">
        <v>50</v>
      </c>
      <c r="B5" s="8"/>
      <c r="D5" s="9">
        <v>0.5</v>
      </c>
      <c r="E5" s="8" t="s">
        <v>51</v>
      </c>
    </row>
    <row r="6" spans="1:7">
      <c r="A6" s="8" t="s">
        <v>52</v>
      </c>
      <c r="B6" s="8"/>
      <c r="D6" s="10">
        <v>0</v>
      </c>
    </row>
    <row r="7" spans="1:7">
      <c r="A7" s="8" t="s">
        <v>53</v>
      </c>
      <c r="B7" s="8"/>
      <c r="D7" s="10">
        <v>6.5000000000000002E-2</v>
      </c>
    </row>
    <row r="8" spans="1:7">
      <c r="A8" s="8" t="s">
        <v>54</v>
      </c>
      <c r="B8" s="8"/>
      <c r="D8" s="5">
        <v>38</v>
      </c>
    </row>
    <row r="9" spans="1:7">
      <c r="A9" s="8" t="s">
        <v>55</v>
      </c>
      <c r="B9" s="8"/>
      <c r="D9" s="26">
        <f>'The Valuation of Amazon'!F39</f>
        <v>340.79</v>
      </c>
    </row>
    <row r="10" spans="1:7">
      <c r="A10" s="8"/>
      <c r="B10" s="8"/>
    </row>
    <row r="11" spans="1:7">
      <c r="A11" s="8"/>
      <c r="B11" s="8"/>
    </row>
    <row r="12" spans="1:7" s="8" customFormat="1">
      <c r="A12" s="11" t="s">
        <v>94</v>
      </c>
    </row>
    <row r="13" spans="1:7" s="8" customFormat="1">
      <c r="A13" s="8" t="s">
        <v>95</v>
      </c>
      <c r="C13" s="12">
        <f>D2</f>
        <v>84</v>
      </c>
      <c r="D13" s="8" t="s">
        <v>96</v>
      </c>
      <c r="F13" s="13">
        <f>D8</f>
        <v>38</v>
      </c>
      <c r="G13" s="14"/>
    </row>
    <row r="14" spans="1:7" s="8" customFormat="1">
      <c r="A14" s="8" t="s">
        <v>97</v>
      </c>
      <c r="C14" s="12">
        <f>D3</f>
        <v>13.375</v>
      </c>
      <c r="D14" s="8" t="s">
        <v>98</v>
      </c>
      <c r="F14" s="15">
        <f>D9</f>
        <v>340.79</v>
      </c>
      <c r="G14" s="14"/>
    </row>
    <row r="15" spans="1:7" s="8" customFormat="1">
      <c r="A15" s="8" t="s">
        <v>99</v>
      </c>
      <c r="C15" s="12">
        <f ca="1">(C13*F14+C26*F13)/(F14+F13)</f>
        <v>83.207843630827497</v>
      </c>
      <c r="D15" s="8" t="s">
        <v>100</v>
      </c>
      <c r="F15" s="16">
        <f>D7</f>
        <v>6.5000000000000002E-2</v>
      </c>
    </row>
    <row r="16" spans="1:7" s="8" customFormat="1">
      <c r="A16" s="8" t="s">
        <v>101</v>
      </c>
      <c r="C16" s="12">
        <f>C14</f>
        <v>13.375</v>
      </c>
      <c r="D16" s="8" t="s">
        <v>102</v>
      </c>
      <c r="F16" s="17">
        <f>D5^2</f>
        <v>0.25</v>
      </c>
    </row>
    <row r="17" spans="1:7" s="8" customFormat="1">
      <c r="A17" s="8" t="s">
        <v>103</v>
      </c>
      <c r="C17" s="12">
        <f>D4</f>
        <v>8.4</v>
      </c>
      <c r="D17" s="8" t="s">
        <v>104</v>
      </c>
      <c r="F17" s="16">
        <f>D6</f>
        <v>0</v>
      </c>
    </row>
    <row r="18" spans="1:7" s="8" customFormat="1">
      <c r="C18" s="11"/>
      <c r="D18" s="8" t="s">
        <v>105</v>
      </c>
      <c r="F18" s="18">
        <f>F15-F17</f>
        <v>6.5000000000000002E-2</v>
      </c>
    </row>
    <row r="19" spans="1:7" s="8" customFormat="1"/>
    <row r="20" spans="1:7" s="8" customFormat="1">
      <c r="A20" s="8" t="s">
        <v>106</v>
      </c>
      <c r="B20" s="8">
        <f ca="1">(LN(C15/C16)+(F18+(F16/2))*C17)/(((F16)^(0.5))*(C17^0.5))</f>
        <v>2.3627529564510601</v>
      </c>
    </row>
    <row r="21" spans="1:7" s="8" customFormat="1">
      <c r="A21" s="8" t="s">
        <v>107</v>
      </c>
      <c r="B21" s="8">
        <f ca="1">NORMSDIST(B20)</f>
        <v>0.99093012139604375</v>
      </c>
    </row>
    <row r="22" spans="1:7" s="8" customFormat="1"/>
    <row r="23" spans="1:7" s="8" customFormat="1">
      <c r="A23" s="8" t="s">
        <v>108</v>
      </c>
      <c r="B23" s="8">
        <f ca="1">B20-((F16^0.5)*(C17^(0.5)))</f>
        <v>0.91361528183211616</v>
      </c>
    </row>
    <row r="24" spans="1:7" s="8" customFormat="1">
      <c r="A24" s="8" t="s">
        <v>109</v>
      </c>
      <c r="B24" s="8">
        <f ca="1">NORMSDIST(B23)</f>
        <v>0.8195404831981784</v>
      </c>
    </row>
    <row r="25" spans="1:7" ht="13.8" thickBot="1">
      <c r="A25" s="8"/>
      <c r="B25" s="8"/>
    </row>
    <row r="26" spans="1:7" s="19" customFormat="1" ht="18">
      <c r="A26" s="6" t="s">
        <v>110</v>
      </c>
      <c r="B26" s="6"/>
      <c r="C26" s="22">
        <f ca="1">((EXP((0-F17)*C17))*C15*B21-C16*(EXP((0-F15)*C17))*B24)</f>
        <v>76.103660234766934</v>
      </c>
      <c r="E26" s="20"/>
      <c r="G26" s="21"/>
    </row>
    <row r="27" spans="1:7" s="6" customFormat="1" ht="17.399999999999999">
      <c r="A27" s="6" t="s">
        <v>112</v>
      </c>
      <c r="C27" s="23">
        <f>D8</f>
        <v>38</v>
      </c>
    </row>
    <row r="28" spans="1:7" s="6" customFormat="1" ht="17.399999999999999">
      <c r="A28" s="6" t="s">
        <v>113</v>
      </c>
      <c r="C28" s="24">
        <f ca="1">C27*C26</f>
        <v>2891.9390889211436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8" sqref="B8"/>
    </sheetView>
  </sheetViews>
  <sheetFormatPr defaultRowHeight="13.2"/>
  <cols>
    <col min="1" max="256" width="11.5546875" customWidth="1"/>
  </cols>
  <sheetData>
    <row r="1" spans="1:2">
      <c r="A1" t="s">
        <v>56</v>
      </c>
      <c r="B1" t="s">
        <v>58</v>
      </c>
    </row>
    <row r="2" spans="1:2">
      <c r="A2" s="27">
        <v>0.41</v>
      </c>
      <c r="B2">
        <v>37.97</v>
      </c>
    </row>
    <row r="3" spans="1:2">
      <c r="A3" s="27">
        <v>0.45</v>
      </c>
      <c r="B3">
        <v>61.43</v>
      </c>
    </row>
    <row r="4" spans="1:2">
      <c r="A4" s="27">
        <v>0.5</v>
      </c>
      <c r="B4">
        <v>96.59</v>
      </c>
    </row>
    <row r="5" spans="1:2">
      <c r="A5" s="27"/>
    </row>
    <row r="6" spans="1:2">
      <c r="A6" t="s">
        <v>57</v>
      </c>
      <c r="B6" t="s">
        <v>58</v>
      </c>
    </row>
    <row r="7" spans="1:2">
      <c r="A7" s="27">
        <v>0.06</v>
      </c>
      <c r="B7">
        <v>7.59</v>
      </c>
    </row>
    <row r="8" spans="1:2">
      <c r="A8" s="27">
        <v>0.08</v>
      </c>
      <c r="B8">
        <v>22.67</v>
      </c>
    </row>
    <row r="9" spans="1:2">
      <c r="A9" s="27">
        <v>0.1</v>
      </c>
      <c r="B9">
        <v>37.74</v>
      </c>
    </row>
    <row r="10" spans="1:2">
      <c r="A10" s="27">
        <v>0.12</v>
      </c>
      <c r="B10">
        <v>52.81</v>
      </c>
    </row>
    <row r="11" spans="1:2">
      <c r="A11" s="27">
        <v>0.14000000000000001</v>
      </c>
      <c r="B11">
        <v>67.89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6"/>
  <sheetViews>
    <sheetView showGridLines="0" showZeros="0" tabSelected="1" topLeftCell="A53" workbookViewId="0">
      <selection activeCell="J62" sqref="J62"/>
    </sheetView>
  </sheetViews>
  <sheetFormatPr defaultRowHeight="13.2"/>
  <cols>
    <col min="1" max="1" width="2.6640625" customWidth="1"/>
    <col min="2" max="8" width="12.6640625" customWidth="1"/>
    <col min="9" max="12" width="11.5546875" customWidth="1"/>
    <col min="13" max="13" width="12.6640625" customWidth="1"/>
    <col min="14" max="256" width="11.5546875" customWidth="1"/>
  </cols>
  <sheetData>
    <row r="1" spans="2:9" ht="19.95" customHeight="1">
      <c r="B1" s="1" t="s">
        <v>81</v>
      </c>
      <c r="C1" s="2"/>
      <c r="D1" s="2"/>
      <c r="E1" s="2"/>
      <c r="F1" s="2"/>
      <c r="G1" s="2"/>
      <c r="H1" s="2"/>
      <c r="I1" s="2"/>
    </row>
    <row r="2" spans="2:9" ht="19.95" customHeight="1" thickBot="1">
      <c r="B2" s="1" t="s">
        <v>84</v>
      </c>
      <c r="C2" s="2"/>
      <c r="D2" s="2"/>
      <c r="E2" s="2"/>
      <c r="F2" s="2"/>
      <c r="G2" s="2"/>
      <c r="H2" s="2"/>
      <c r="I2" s="2"/>
    </row>
    <row r="3" spans="2:9" s="8" customFormat="1" ht="19.95" customHeight="1">
      <c r="B3" s="3" t="s">
        <v>82</v>
      </c>
      <c r="C3" s="28"/>
      <c r="D3" s="29"/>
      <c r="E3" s="29"/>
      <c r="F3" s="29"/>
      <c r="G3" s="29"/>
      <c r="H3" s="30"/>
      <c r="I3" s="31"/>
    </row>
    <row r="4" spans="2:9" s="8" customFormat="1" ht="19.95" customHeight="1" thickBot="1">
      <c r="B4" s="3" t="s">
        <v>83</v>
      </c>
      <c r="C4" s="32"/>
      <c r="D4" s="33"/>
      <c r="E4" s="33"/>
      <c r="F4" s="33"/>
      <c r="G4" s="33"/>
      <c r="H4" s="34"/>
      <c r="I4" s="31"/>
    </row>
    <row r="5" spans="2:9" s="8" customFormat="1" ht="19.95" customHeight="1"/>
    <row r="6" spans="2:9" s="8" customFormat="1" ht="19.95" customHeight="1">
      <c r="B6" s="11" t="s">
        <v>39</v>
      </c>
    </row>
    <row r="7" spans="2:9" s="8" customFormat="1" ht="19.95" customHeight="1">
      <c r="B7" s="8" t="s">
        <v>40</v>
      </c>
    </row>
    <row r="8" spans="2:9" s="8" customFormat="1" ht="19.95" customHeight="1">
      <c r="B8" s="8" t="s">
        <v>41</v>
      </c>
    </row>
    <row r="9" spans="2:9" s="8" customFormat="1" ht="19.95" customHeight="1">
      <c r="B9" s="8" t="s">
        <v>42</v>
      </c>
    </row>
    <row r="10" spans="2:9" s="8" customFormat="1" ht="19.95" customHeight="1"/>
    <row r="11" spans="2:9" s="8" customFormat="1" ht="19.95" customHeight="1">
      <c r="B11" s="11" t="s">
        <v>43</v>
      </c>
    </row>
    <row r="12" spans="2:9" s="8" customFormat="1" ht="19.95" customHeight="1">
      <c r="B12" s="8" t="s">
        <v>44</v>
      </c>
    </row>
    <row r="13" spans="2:9" s="8" customFormat="1" ht="19.95" customHeight="1">
      <c r="B13" s="8" t="s">
        <v>45</v>
      </c>
    </row>
    <row r="14" spans="2:9" s="8" customFormat="1" ht="19.95" customHeight="1">
      <c r="B14" s="8" t="s">
        <v>46</v>
      </c>
    </row>
    <row r="15" spans="2:9" s="8" customFormat="1" ht="19.95" customHeight="1">
      <c r="B15" s="8" t="s">
        <v>116</v>
      </c>
    </row>
    <row r="16" spans="2:9" s="8" customFormat="1" ht="19.95" customHeight="1">
      <c r="B16" s="8" t="s">
        <v>117</v>
      </c>
    </row>
    <row r="17" spans="1:9" s="8" customFormat="1" ht="19.95" customHeight="1"/>
    <row r="18" spans="1:9" s="8" customFormat="1" ht="19.95" customHeight="1"/>
    <row r="19" spans="1:9" s="8" customFormat="1" ht="19.95" customHeight="1"/>
    <row r="20" spans="1:9" s="8" customFormat="1" ht="19.95" customHeight="1">
      <c r="A20" s="31"/>
      <c r="B20" s="42" t="s">
        <v>118</v>
      </c>
      <c r="C20" s="31"/>
      <c r="D20" s="31"/>
      <c r="E20" s="31"/>
      <c r="F20" s="31"/>
      <c r="G20" s="31"/>
      <c r="H20" s="31"/>
      <c r="I20" s="31"/>
    </row>
    <row r="21" spans="1:9" s="8" customFormat="1" ht="19.95" customHeight="1">
      <c r="B21" s="8" t="s">
        <v>119</v>
      </c>
      <c r="D21" s="64">
        <f>500</f>
        <v>500</v>
      </c>
      <c r="E21" s="38" t="s">
        <v>120</v>
      </c>
    </row>
    <row r="22" spans="1:9" s="8" customFormat="1" ht="19.95" customHeight="1">
      <c r="B22" s="8" t="s">
        <v>121</v>
      </c>
      <c r="D22" s="64">
        <f>350</f>
        <v>350</v>
      </c>
      <c r="E22" s="38" t="s">
        <v>120</v>
      </c>
    </row>
    <row r="23" spans="1:9" s="8" customFormat="1" ht="19.95" customHeight="1">
      <c r="B23" s="8" t="s">
        <v>122</v>
      </c>
      <c r="D23" s="64">
        <v>0</v>
      </c>
      <c r="E23" s="38" t="s">
        <v>123</v>
      </c>
    </row>
    <row r="24" spans="1:9" s="8" customFormat="1" ht="19.95" customHeight="1">
      <c r="B24" s="8" t="s">
        <v>124</v>
      </c>
      <c r="D24" s="64">
        <f>66+8</f>
        <v>74</v>
      </c>
      <c r="E24" s="38" t="s">
        <v>120</v>
      </c>
    </row>
    <row r="25" spans="1:9" s="8" customFormat="1" ht="19.95" customHeight="1">
      <c r="B25" s="8" t="s">
        <v>125</v>
      </c>
      <c r="D25" s="64">
        <f>182*(4/3)</f>
        <v>242.66666666666666</v>
      </c>
      <c r="E25" s="38" t="s">
        <v>120</v>
      </c>
    </row>
    <row r="26" spans="1:9" s="8" customFormat="1" ht="19.95" customHeight="1">
      <c r="B26" s="8" t="s">
        <v>126</v>
      </c>
      <c r="D26" s="64">
        <f>23*(4/3)</f>
        <v>30.666666666666664</v>
      </c>
      <c r="E26" s="38" t="s">
        <v>120</v>
      </c>
    </row>
    <row r="27" spans="1:9" s="8" customFormat="1" ht="19.95" customHeight="1">
      <c r="B27" s="8" t="s">
        <v>127</v>
      </c>
      <c r="D27" s="65">
        <v>0.35</v>
      </c>
      <c r="E27" s="38" t="s">
        <v>128</v>
      </c>
    </row>
    <row r="28" spans="1:9" s="8" customFormat="1" ht="19.95" customHeight="1">
      <c r="B28" s="8" t="s">
        <v>129</v>
      </c>
      <c r="D28" s="64">
        <f>964+153</f>
        <v>1117</v>
      </c>
      <c r="E28" s="38" t="s">
        <v>123</v>
      </c>
    </row>
    <row r="29" spans="1:9" s="8" customFormat="1" ht="19.95" customHeight="1">
      <c r="B29" s="8" t="s">
        <v>93</v>
      </c>
      <c r="D29" s="64">
        <f>29.5+21-113-48</f>
        <v>-110.5</v>
      </c>
      <c r="E29" s="38" t="s">
        <v>120</v>
      </c>
    </row>
    <row r="30" spans="1:9" s="8" customFormat="1" ht="19.95" customHeight="1">
      <c r="B30" s="8" t="s">
        <v>0</v>
      </c>
      <c r="D30" s="64">
        <v>-63</v>
      </c>
      <c r="E30" s="38" t="s">
        <v>120</v>
      </c>
    </row>
    <row r="31" spans="1:9" s="8" customFormat="1" ht="19.95" customHeight="1">
      <c r="B31" s="8" t="s">
        <v>1</v>
      </c>
      <c r="D31" s="64">
        <f>0.68+348</f>
        <v>348.68</v>
      </c>
      <c r="E31" s="38" t="s">
        <v>123</v>
      </c>
    </row>
    <row r="32" spans="1:9" s="8" customFormat="1" ht="19.95" customHeight="1">
      <c r="B32" s="8" t="s">
        <v>2</v>
      </c>
      <c r="D32" s="64">
        <v>138</v>
      </c>
      <c r="E32" s="38" t="s">
        <v>120</v>
      </c>
    </row>
    <row r="33" spans="2:7" s="8" customFormat="1" ht="19.95" customHeight="1">
      <c r="B33" s="8" t="s">
        <v>33</v>
      </c>
      <c r="D33" s="64">
        <v>1500</v>
      </c>
      <c r="E33" s="38"/>
    </row>
    <row r="34" spans="2:7" s="8" customFormat="1" ht="19.95" customHeight="1">
      <c r="D34" s="44"/>
      <c r="E34" s="38"/>
    </row>
    <row r="35" spans="2:7" s="35" customFormat="1" ht="19.95" customHeight="1">
      <c r="B35" s="35" t="s">
        <v>3</v>
      </c>
      <c r="D35" s="45"/>
      <c r="E35" s="46"/>
    </row>
    <row r="36" spans="2:7" s="8" customFormat="1" ht="19.95" customHeight="1">
      <c r="B36" s="8" t="s">
        <v>4</v>
      </c>
      <c r="F36" s="64" t="s">
        <v>5</v>
      </c>
      <c r="G36" s="38" t="s">
        <v>6</v>
      </c>
    </row>
    <row r="37" spans="2:7" s="8" customFormat="1" ht="19.95" customHeight="1">
      <c r="F37" s="47"/>
      <c r="G37" s="38"/>
    </row>
    <row r="38" spans="2:7" s="8" customFormat="1" ht="19.95" customHeight="1">
      <c r="B38" s="8" t="s">
        <v>7</v>
      </c>
      <c r="F38" s="43">
        <v>84</v>
      </c>
      <c r="G38" s="38" t="s">
        <v>120</v>
      </c>
    </row>
    <row r="39" spans="2:7" s="8" customFormat="1" ht="19.95" customHeight="1">
      <c r="B39" s="8" t="s">
        <v>8</v>
      </c>
      <c r="F39" s="48">
        <v>340.79</v>
      </c>
      <c r="G39" s="38" t="s">
        <v>9</v>
      </c>
    </row>
    <row r="40" spans="2:7" s="8" customFormat="1" ht="19.95" customHeight="1">
      <c r="B40" s="8" t="s">
        <v>10</v>
      </c>
      <c r="F40" s="43">
        <f>349</f>
        <v>349</v>
      </c>
      <c r="G40" s="38" t="s">
        <v>123</v>
      </c>
    </row>
    <row r="41" spans="2:7" s="8" customFormat="1" ht="19.95" customHeight="1">
      <c r="D41" s="44"/>
      <c r="E41" s="38"/>
    </row>
    <row r="42" spans="2:7" s="8" customFormat="1" ht="19.95" customHeight="1">
      <c r="B42" s="8" t="s">
        <v>32</v>
      </c>
      <c r="D42" s="44"/>
      <c r="E42" s="38"/>
      <c r="F42" s="72"/>
      <c r="G42" s="38" t="s">
        <v>11</v>
      </c>
    </row>
    <row r="43" spans="2:7" s="8" customFormat="1" ht="19.95" customHeight="1">
      <c r="B43" s="8" t="s">
        <v>12</v>
      </c>
      <c r="D43" s="44"/>
      <c r="E43" s="38"/>
      <c r="F43" s="66"/>
      <c r="G43" s="38" t="s">
        <v>128</v>
      </c>
    </row>
    <row r="44" spans="2:7" s="8" customFormat="1" ht="19.95" customHeight="1">
      <c r="D44" s="44"/>
      <c r="E44" s="38"/>
    </row>
    <row r="45" spans="2:7" s="8" customFormat="1" ht="19.95" customHeight="1">
      <c r="B45" s="8" t="s">
        <v>13</v>
      </c>
      <c r="E45" s="67">
        <v>10</v>
      </c>
      <c r="F45" s="38" t="s">
        <v>14</v>
      </c>
    </row>
    <row r="46" spans="2:7" s="8" customFormat="1" ht="19.95" customHeight="1">
      <c r="E46" s="49"/>
      <c r="F46" s="38"/>
    </row>
    <row r="47" spans="2:7" s="8" customFormat="1" ht="19.95" customHeight="1">
      <c r="B47" s="35" t="s">
        <v>15</v>
      </c>
    </row>
    <row r="48" spans="2:7" s="8" customFormat="1" ht="19.95" customHeight="1">
      <c r="B48" s="8" t="s">
        <v>16</v>
      </c>
      <c r="E48" s="68" t="s">
        <v>17</v>
      </c>
      <c r="F48" s="38" t="s">
        <v>11</v>
      </c>
    </row>
    <row r="49" spans="2:7" s="8" customFormat="1" ht="19.95" customHeight="1">
      <c r="B49" s="8" t="s">
        <v>18</v>
      </c>
      <c r="E49" s="69">
        <v>0.1535</v>
      </c>
      <c r="F49" s="38" t="s">
        <v>128</v>
      </c>
    </row>
    <row r="50" spans="2:7" s="8" customFormat="1" ht="19.95" customHeight="1">
      <c r="B50" s="51" t="s">
        <v>19</v>
      </c>
      <c r="F50" s="38"/>
    </row>
    <row r="51" spans="2:7" s="8" customFormat="1" ht="19.95" customHeight="1">
      <c r="B51" s="8" t="s">
        <v>20</v>
      </c>
      <c r="D51" s="70">
        <v>1.6</v>
      </c>
      <c r="F51" s="38"/>
    </row>
    <row r="52" spans="2:7" s="8" customFormat="1" ht="19.95" customHeight="1">
      <c r="B52" s="8" t="s">
        <v>21</v>
      </c>
      <c r="D52" s="69">
        <v>6.5000000000000002E-2</v>
      </c>
      <c r="E52" s="38" t="s">
        <v>128</v>
      </c>
      <c r="F52" s="38"/>
    </row>
    <row r="53" spans="2:7" s="8" customFormat="1" ht="19.95" customHeight="1">
      <c r="B53" s="8" t="s">
        <v>22</v>
      </c>
      <c r="D53" s="69">
        <v>0.04</v>
      </c>
      <c r="E53" s="38" t="s">
        <v>128</v>
      </c>
      <c r="F53" s="38"/>
    </row>
    <row r="54" spans="2:7" s="8" customFormat="1" ht="19.95" customHeight="1">
      <c r="D54" s="40"/>
      <c r="E54" s="38"/>
      <c r="F54" s="38"/>
    </row>
    <row r="55" spans="2:7" s="8" customFormat="1" ht="19.95" customHeight="1">
      <c r="B55" s="8" t="s">
        <v>23</v>
      </c>
      <c r="D55" s="40"/>
      <c r="E55" s="69">
        <v>0.08</v>
      </c>
      <c r="F55" s="38" t="s">
        <v>24</v>
      </c>
    </row>
    <row r="56" spans="2:7" s="8" customFormat="1" ht="19.95" customHeight="1">
      <c r="D56" s="40"/>
      <c r="E56" s="38"/>
      <c r="F56" s="38"/>
    </row>
    <row r="57" spans="2:7" s="8" customFormat="1" ht="19.95" customHeight="1">
      <c r="B57" s="35" t="s">
        <v>25</v>
      </c>
      <c r="F57" s="38"/>
    </row>
    <row r="58" spans="2:7" s="8" customFormat="1" ht="19.95" customHeight="1">
      <c r="B58" s="35" t="s">
        <v>26</v>
      </c>
      <c r="F58" s="38"/>
    </row>
    <row r="59" spans="2:7" s="8" customFormat="1" ht="19.95" customHeight="1">
      <c r="B59" s="38" t="s">
        <v>27</v>
      </c>
      <c r="C59" s="52" t="s">
        <v>28</v>
      </c>
      <c r="D59" s="52" t="s">
        <v>31</v>
      </c>
      <c r="E59" s="52" t="s">
        <v>28</v>
      </c>
      <c r="F59" s="52" t="s">
        <v>28</v>
      </c>
      <c r="G59" s="52" t="s">
        <v>29</v>
      </c>
    </row>
    <row r="60" spans="2:7" s="8" customFormat="1" ht="19.95" customHeight="1">
      <c r="B60" s="46"/>
      <c r="C60" s="52" t="s">
        <v>30</v>
      </c>
      <c r="D60" s="52" t="s">
        <v>133</v>
      </c>
      <c r="E60" s="52" t="s">
        <v>131</v>
      </c>
      <c r="F60" s="52" t="s">
        <v>132</v>
      </c>
      <c r="G60" s="52" t="s">
        <v>133</v>
      </c>
    </row>
    <row r="61" spans="2:7" s="8" customFormat="1" ht="19.95" customHeight="1">
      <c r="B61" s="38">
        <f>IF($E$45&gt;0,1,0)</f>
        <v>1</v>
      </c>
      <c r="C61" s="69">
        <v>1.5</v>
      </c>
      <c r="D61" s="71">
        <v>1.1499999999999999</v>
      </c>
      <c r="E61" s="71">
        <f>C63</f>
        <v>0.75</v>
      </c>
      <c r="F61" s="71">
        <f>C62</f>
        <v>1</v>
      </c>
      <c r="G61" s="69">
        <v>0.03</v>
      </c>
    </row>
    <row r="62" spans="2:7" s="8" customFormat="1" ht="19.95" customHeight="1">
      <c r="B62" s="38">
        <f>IF($E$45&gt;1,2,0)</f>
        <v>2</v>
      </c>
      <c r="C62" s="69">
        <v>1</v>
      </c>
      <c r="D62" s="71">
        <v>1.02</v>
      </c>
      <c r="E62" s="71">
        <f t="shared" ref="E62:E68" si="0">C64</f>
        <v>0.5</v>
      </c>
      <c r="F62" s="71">
        <f t="shared" ref="F62:F69" si="1">C63</f>
        <v>0.75</v>
      </c>
      <c r="G62" s="69">
        <f t="shared" ref="G62:G70" si="2">G61</f>
        <v>0.03</v>
      </c>
    </row>
    <row r="63" spans="2:7" s="8" customFormat="1" ht="19.95" customHeight="1">
      <c r="B63" s="38">
        <f>IF($E$45&gt;2,3,0)</f>
        <v>3</v>
      </c>
      <c r="C63" s="69">
        <v>0.75</v>
      </c>
      <c r="D63" s="71">
        <v>1</v>
      </c>
      <c r="E63" s="71">
        <f t="shared" si="0"/>
        <v>0.3</v>
      </c>
      <c r="F63" s="71">
        <f t="shared" si="1"/>
        <v>0.5</v>
      </c>
      <c r="G63" s="69">
        <f t="shared" si="2"/>
        <v>0.03</v>
      </c>
    </row>
    <row r="64" spans="2:7" s="8" customFormat="1" ht="19.95" customHeight="1">
      <c r="B64" s="38">
        <f>IF($E$45&gt;3,4,0)</f>
        <v>4</v>
      </c>
      <c r="C64" s="69">
        <v>0.5</v>
      </c>
      <c r="D64" s="71">
        <v>0.99</v>
      </c>
      <c r="E64" s="71">
        <f t="shared" si="0"/>
        <v>0.252</v>
      </c>
      <c r="F64" s="71">
        <f t="shared" si="1"/>
        <v>0.3</v>
      </c>
      <c r="G64" s="69">
        <f t="shared" si="2"/>
        <v>0.03</v>
      </c>
    </row>
    <row r="65" spans="2:7" s="8" customFormat="1" ht="19.95" customHeight="1">
      <c r="B65" s="38">
        <f>IF($E$45&gt;4,5,0)</f>
        <v>5</v>
      </c>
      <c r="C65" s="69">
        <v>0.3</v>
      </c>
      <c r="D65" s="71">
        <v>0.98</v>
      </c>
      <c r="E65" s="71">
        <f t="shared" si="0"/>
        <v>0.20399999999999999</v>
      </c>
      <c r="F65" s="71">
        <f t="shared" si="1"/>
        <v>0.252</v>
      </c>
      <c r="G65" s="69">
        <f t="shared" si="2"/>
        <v>0.03</v>
      </c>
    </row>
    <row r="66" spans="2:7" s="8" customFormat="1" ht="19.95" customHeight="1">
      <c r="B66" s="38">
        <f>IF($E$45&gt;5,6,0)</f>
        <v>6</v>
      </c>
      <c r="C66" s="69">
        <v>0.252</v>
      </c>
      <c r="D66" s="69">
        <f>$D$65-((($D$65-$D$70)/5)*(B66-$B$65))</f>
        <v>0.96399999999999997</v>
      </c>
      <c r="E66" s="71">
        <f t="shared" si="0"/>
        <v>0.156</v>
      </c>
      <c r="F66" s="71">
        <f t="shared" si="1"/>
        <v>0.20399999999999999</v>
      </c>
      <c r="G66" s="69">
        <f t="shared" si="2"/>
        <v>0.03</v>
      </c>
    </row>
    <row r="67" spans="2:7" s="8" customFormat="1" ht="19.95" customHeight="1">
      <c r="B67" s="38">
        <f>IF($E$45&gt;6,7,0)</f>
        <v>7</v>
      </c>
      <c r="C67" s="69">
        <v>0.20399999999999999</v>
      </c>
      <c r="D67" s="69">
        <f>$D$65-((($D$65-$D$70)/5)*(B67-$B$65))</f>
        <v>0.94799999999999995</v>
      </c>
      <c r="E67" s="71">
        <f t="shared" si="0"/>
        <v>0.108</v>
      </c>
      <c r="F67" s="71">
        <f t="shared" si="1"/>
        <v>0.156</v>
      </c>
      <c r="G67" s="69">
        <f t="shared" si="2"/>
        <v>0.03</v>
      </c>
    </row>
    <row r="68" spans="2:7" s="8" customFormat="1" ht="19.95" customHeight="1">
      <c r="B68" s="38">
        <f>IF($E$45&gt;7,8,0)</f>
        <v>8</v>
      </c>
      <c r="C68" s="69">
        <v>0.156</v>
      </c>
      <c r="D68" s="69">
        <f>$D$65-((($D$65-$D$70)/5)*(B68-$B$65))</f>
        <v>0.93200000000000005</v>
      </c>
      <c r="E68" s="71">
        <f t="shared" si="0"/>
        <v>0.06</v>
      </c>
      <c r="F68" s="71">
        <f t="shared" si="1"/>
        <v>0.108</v>
      </c>
      <c r="G68" s="69">
        <f t="shared" si="2"/>
        <v>0.03</v>
      </c>
    </row>
    <row r="69" spans="2:7" s="8" customFormat="1" ht="19.95" customHeight="1">
      <c r="B69" s="38">
        <f>IF($E$45&gt;8,9,0)</f>
        <v>9</v>
      </c>
      <c r="C69" s="69">
        <v>0.108</v>
      </c>
      <c r="D69" s="69">
        <f>$D$65-((($D$65-$D$70)/5)*(B69-$B$65))</f>
        <v>0.91600000000000004</v>
      </c>
      <c r="E69" s="71">
        <f>C70</f>
        <v>0.06</v>
      </c>
      <c r="F69" s="71">
        <f t="shared" si="1"/>
        <v>0.06</v>
      </c>
      <c r="G69" s="69">
        <f t="shared" si="2"/>
        <v>0.03</v>
      </c>
    </row>
    <row r="70" spans="2:7" s="8" customFormat="1" ht="19.95" customHeight="1">
      <c r="B70" s="38">
        <f>IF($E$45&gt;9,10,0)</f>
        <v>10</v>
      </c>
      <c r="C70" s="69">
        <v>0.06</v>
      </c>
      <c r="D70" s="71">
        <v>0.9</v>
      </c>
      <c r="E70" s="71">
        <f>C70</f>
        <v>0.06</v>
      </c>
      <c r="F70" s="71">
        <f>C70</f>
        <v>0.06</v>
      </c>
      <c r="G70" s="69">
        <f t="shared" si="2"/>
        <v>0.03</v>
      </c>
    </row>
    <row r="71" spans="2:7" s="8" customFormat="1" ht="19.95" customHeight="1">
      <c r="B71" s="8" t="s">
        <v>38</v>
      </c>
      <c r="C71" s="36">
        <f>(L97/D28)^(1/10)-1</f>
        <v>0.42661798249064153</v>
      </c>
    </row>
    <row r="72" spans="2:7" s="8" customFormat="1" ht="19.95" customHeight="1">
      <c r="B72" s="8" t="s">
        <v>134</v>
      </c>
      <c r="E72" s="69">
        <v>0.06</v>
      </c>
      <c r="F72" s="38" t="s">
        <v>128</v>
      </c>
    </row>
    <row r="73" spans="2:7" s="8" customFormat="1" ht="19.95" customHeight="1">
      <c r="B73" s="8" t="s">
        <v>130</v>
      </c>
      <c r="E73" s="69">
        <f>D70</f>
        <v>0.9</v>
      </c>
      <c r="F73" s="38" t="s">
        <v>128</v>
      </c>
    </row>
    <row r="74" spans="2:7" s="8" customFormat="1" ht="19.95" customHeight="1">
      <c r="B74" s="8" t="s">
        <v>135</v>
      </c>
      <c r="E74" s="69">
        <f>G70</f>
        <v>0.03</v>
      </c>
      <c r="F74" s="38" t="s">
        <v>128</v>
      </c>
    </row>
    <row r="75" spans="2:7" s="8" customFormat="1" ht="19.95" customHeight="1">
      <c r="E75" s="40"/>
      <c r="F75" s="38"/>
    </row>
    <row r="76" spans="2:7" s="8" customFormat="1" ht="19.95" customHeight="1">
      <c r="B76" s="8" t="s">
        <v>136</v>
      </c>
      <c r="E76" s="72" t="s">
        <v>5</v>
      </c>
      <c r="F76" s="38" t="s">
        <v>11</v>
      </c>
    </row>
    <row r="77" spans="2:7" s="8" customFormat="1" ht="19.95" customHeight="1">
      <c r="B77" s="8" t="s">
        <v>137</v>
      </c>
      <c r="E77" s="73">
        <v>1</v>
      </c>
      <c r="F77" s="38"/>
    </row>
    <row r="78" spans="2:7" s="8" customFormat="1" ht="19.95" customHeight="1">
      <c r="E78" s="38"/>
      <c r="F78" s="38"/>
    </row>
    <row r="79" spans="2:7" s="8" customFormat="1" ht="19.95" customHeight="1">
      <c r="B79" s="8" t="s">
        <v>138</v>
      </c>
      <c r="E79" s="49"/>
      <c r="F79" s="72" t="s">
        <v>5</v>
      </c>
      <c r="G79" s="38" t="s">
        <v>11</v>
      </c>
    </row>
    <row r="80" spans="2:7" s="8" customFormat="1" ht="19.95" customHeight="1">
      <c r="B80" s="8" t="s">
        <v>139</v>
      </c>
      <c r="E80" s="49"/>
      <c r="F80" s="71">
        <v>0.15</v>
      </c>
      <c r="G80" s="38" t="s">
        <v>128</v>
      </c>
    </row>
    <row r="81" spans="1:13" s="8" customFormat="1" ht="19.95" customHeight="1">
      <c r="E81" s="49"/>
      <c r="F81" s="53"/>
    </row>
    <row r="82" spans="1:13" s="8" customFormat="1" ht="19.95" customHeight="1">
      <c r="B82" s="8" t="s">
        <v>140</v>
      </c>
      <c r="E82" s="72" t="s">
        <v>5</v>
      </c>
      <c r="F82" s="38" t="s">
        <v>11</v>
      </c>
    </row>
    <row r="83" spans="1:13" s="8" customFormat="1" ht="19.95" customHeight="1">
      <c r="B83" s="8" t="s">
        <v>141</v>
      </c>
      <c r="E83" s="69">
        <v>0.08</v>
      </c>
      <c r="F83" s="38" t="s">
        <v>24</v>
      </c>
    </row>
    <row r="84" spans="1:13" s="8" customFormat="1" ht="19.95" customHeight="1">
      <c r="E84" s="54"/>
      <c r="F84" s="38"/>
    </row>
    <row r="85" spans="1:13" s="8" customFormat="1" ht="19.95" customHeight="1">
      <c r="B85" s="51" t="s">
        <v>142</v>
      </c>
      <c r="E85" s="38"/>
      <c r="F85" s="38"/>
    </row>
    <row r="86" spans="1:13" s="8" customFormat="1" ht="19.95" customHeight="1">
      <c r="B86" s="8" t="s">
        <v>143</v>
      </c>
      <c r="E86" s="55"/>
      <c r="F86" s="72" t="s">
        <v>17</v>
      </c>
      <c r="G86" s="38" t="s">
        <v>11</v>
      </c>
    </row>
    <row r="87" spans="1:13" s="8" customFormat="1" ht="19.95" customHeight="1">
      <c r="B87" s="8" t="s">
        <v>144</v>
      </c>
      <c r="E87" s="55"/>
      <c r="F87" s="74">
        <v>1.1000000000000001</v>
      </c>
      <c r="G87" s="38" t="s">
        <v>145</v>
      </c>
    </row>
    <row r="88" spans="1:13" s="8" customFormat="1" ht="19.95" customHeight="1">
      <c r="E88" s="55"/>
      <c r="F88" s="55"/>
      <c r="G88" s="38"/>
    </row>
    <row r="89" spans="1:13" s="8" customFormat="1" ht="19.95" customHeight="1">
      <c r="A89" s="31"/>
      <c r="B89" s="42" t="s">
        <v>152</v>
      </c>
      <c r="C89" s="31"/>
      <c r="D89" s="31"/>
      <c r="E89" s="31"/>
      <c r="F89" s="31"/>
      <c r="G89" s="31"/>
      <c r="H89" s="31"/>
      <c r="I89" s="31"/>
    </row>
    <row r="90" spans="1:13" s="8" customFormat="1" ht="19.95" customHeight="1">
      <c r="B90" s="8" t="s">
        <v>153</v>
      </c>
      <c r="D90" s="50">
        <f>IF(E48="Yes",E49,D52+D51*D53)</f>
        <v>0.129</v>
      </c>
      <c r="E90" s="38"/>
      <c r="F90" s="38"/>
    </row>
    <row r="91" spans="1:13" s="8" customFormat="1" ht="19.95" customHeight="1">
      <c r="B91" s="8" t="s">
        <v>154</v>
      </c>
      <c r="D91" s="50">
        <f>IF(F36="Yes",F38*F39/(F40+F38*F39),IF(F42="Yes",1-D31/(D31+D32),1-F43))</f>
        <v>0.98795528338560767</v>
      </c>
      <c r="E91" s="38"/>
      <c r="F91" s="38"/>
    </row>
    <row r="92" spans="1:13" s="8" customFormat="1" ht="19.95" customHeight="1">
      <c r="B92" s="8" t="s">
        <v>59</v>
      </c>
      <c r="D92" s="50">
        <f>E55*(1-D27)</f>
        <v>5.2000000000000005E-2</v>
      </c>
      <c r="E92" s="38"/>
      <c r="F92" s="38"/>
    </row>
    <row r="93" spans="1:13" s="8" customFormat="1" ht="19.95" customHeight="1">
      <c r="B93" s="8" t="s">
        <v>60</v>
      </c>
      <c r="D93" s="56">
        <f>1-D91</f>
        <v>1.2044716614392326E-2</v>
      </c>
      <c r="E93" s="38"/>
      <c r="F93" s="38"/>
    </row>
    <row r="94" spans="1:13" s="8" customFormat="1" ht="19.95" customHeight="1">
      <c r="B94" s="8" t="s">
        <v>61</v>
      </c>
      <c r="D94" s="50">
        <f>D90*D91+D92*D93</f>
        <v>0.1280725568206918</v>
      </c>
      <c r="E94" s="38"/>
      <c r="F94" s="38"/>
    </row>
    <row r="95" spans="1:13" s="8" customFormat="1" ht="19.95" customHeight="1">
      <c r="D95" s="57"/>
      <c r="E95" s="38"/>
      <c r="F95" s="38"/>
    </row>
    <row r="96" spans="1:13" s="8" customFormat="1" ht="19.95" customHeight="1">
      <c r="C96" s="55">
        <f>IF($E$45&gt;0,1," ")</f>
        <v>1</v>
      </c>
      <c r="D96" s="55">
        <f>IF($E$45&gt;1,2," ")</f>
        <v>2</v>
      </c>
      <c r="E96" s="55">
        <f>IF($E$45&gt;2,3," ")</f>
        <v>3</v>
      </c>
      <c r="F96" s="55">
        <f>IF($E$45&gt;3,4," ")</f>
        <v>4</v>
      </c>
      <c r="G96" s="55">
        <f>IF($E$45&gt;4,5," ")</f>
        <v>5</v>
      </c>
      <c r="H96" s="55">
        <f>IF($E$45&gt;5,6," ")</f>
        <v>6</v>
      </c>
      <c r="I96" s="55">
        <f>IF($E$45&gt;6,7," ")</f>
        <v>7</v>
      </c>
      <c r="J96" s="55">
        <f>IF($E$45&gt;7,8," ")</f>
        <v>8</v>
      </c>
      <c r="K96" s="55">
        <f>IF($E$45&gt;8,9," ")</f>
        <v>9</v>
      </c>
      <c r="L96" s="55">
        <f>IF($E$45&gt;9,10," ")</f>
        <v>10</v>
      </c>
      <c r="M96" s="55" t="s">
        <v>62</v>
      </c>
    </row>
    <row r="97" spans="2:14" s="8" customFormat="1" ht="19.95" customHeight="1">
      <c r="B97" s="8" t="s">
        <v>63</v>
      </c>
      <c r="C97" s="58">
        <f>IF($E$45&lt;C96,0,D28*(1+$C61))</f>
        <v>2792.5</v>
      </c>
      <c r="D97" s="58">
        <f>IF($E$45&lt;D96,0,C97*(1+$C62))</f>
        <v>5585</v>
      </c>
      <c r="E97" s="58">
        <f>IF($E$45&lt;E96,0,D97*(1+$C63))</f>
        <v>9773.75</v>
      </c>
      <c r="F97" s="58">
        <f>IF($E$45&lt;F96,0,E97*(1+$C64))</f>
        <v>14660.625</v>
      </c>
      <c r="G97" s="58">
        <f>IF($E$45&lt;G96,0,F97*(1+$C65))</f>
        <v>19058.8125</v>
      </c>
      <c r="H97" s="58">
        <f>IF($E$45&lt;H96,0,G97*(1+$C66))</f>
        <v>23861.633249999999</v>
      </c>
      <c r="I97" s="58">
        <f>IF($E$45&lt;I96,0,H97*(1+$C67))</f>
        <v>28729.406432999996</v>
      </c>
      <c r="J97" s="58">
        <f>IF($E$45&lt;J96,0,I97*(1+$C68))</f>
        <v>33211.193836547995</v>
      </c>
      <c r="K97" s="58">
        <f>IF($E$45&lt;K96,0,J97*(1+$C69))</f>
        <v>36798.002770895182</v>
      </c>
      <c r="L97" s="58">
        <f>IF($E$45&lt;L96,0,K97*(1+$C70))</f>
        <v>39005.882937148897</v>
      </c>
      <c r="M97" s="37">
        <f>(C97*$C$109+D97*$D$109+E97*$E$109+F97*$F$109+G97*$G$109+H97*$H$109+I97*$I$109+J97*$J$109+K97*$K$109+L97*$L$109)*(1+E72)</f>
        <v>41346.23591337783</v>
      </c>
    </row>
    <row r="98" spans="2:14" s="8" customFormat="1" ht="19.95" customHeight="1">
      <c r="B98" s="8" t="s">
        <v>64</v>
      </c>
      <c r="C98" s="58">
        <f>IF($E$45&lt;C96,0,C97*$D61)</f>
        <v>3211.3749999999995</v>
      </c>
      <c r="D98" s="58">
        <f>IF($E$45&lt;D96,0,D97*$D62)</f>
        <v>5696.7</v>
      </c>
      <c r="E98" s="58">
        <f>IF($E$45&lt;E96,0,E97*$D63)</f>
        <v>9773.75</v>
      </c>
      <c r="F98" s="58">
        <f>IF($E$45&lt;F96,0,F97*$D64)</f>
        <v>14514.018749999999</v>
      </c>
      <c r="G98" s="58">
        <f>IF($E$45&lt;G96,0,G97*$D65)</f>
        <v>18677.63625</v>
      </c>
      <c r="H98" s="58">
        <f>IF($E$45&lt;H96,0,H97*$D66)</f>
        <v>23002.614452999998</v>
      </c>
      <c r="I98" s="58">
        <f>IF($E$45&lt;I96,0,I97*$D67)</f>
        <v>27235.477298483995</v>
      </c>
      <c r="J98" s="58">
        <f>IF($E$45&lt;J96,0,J97*$D67)</f>
        <v>31484.211757047498</v>
      </c>
      <c r="K98" s="58">
        <f>IF($E$45&lt;K96,0,K97*$D68)</f>
        <v>34295.738582474311</v>
      </c>
      <c r="L98" s="58">
        <f>IF($E$45&lt;L96,0,L97*$D69)</f>
        <v>35729.388770428392</v>
      </c>
      <c r="M98" s="37">
        <f>M97*E73</f>
        <v>37211.612322040048</v>
      </c>
    </row>
    <row r="99" spans="2:14" s="8" customFormat="1" ht="19.95" customHeight="1">
      <c r="B99" s="8" t="s">
        <v>65</v>
      </c>
      <c r="C99" s="58">
        <f>IF($E$45&lt;C96,0,D26*(1+$F61))</f>
        <v>61.333333333333329</v>
      </c>
      <c r="D99" s="58">
        <f>IF($E$45&lt;D96,0,C99*(1+$F62))</f>
        <v>107.33333333333333</v>
      </c>
      <c r="E99" s="58">
        <f>IF($E$45&lt;E96,0,D99*(1+$F63))</f>
        <v>161</v>
      </c>
      <c r="F99" s="58">
        <f>IF($E$45&lt;F96,0,E99*(1+$F64))</f>
        <v>209.3</v>
      </c>
      <c r="G99" s="58">
        <f>IF($E$45&lt;G96,0,F99*(1+$F65))</f>
        <v>262.04360000000003</v>
      </c>
      <c r="H99" s="58">
        <f>IF($E$45&lt;H96,0,G99*(1+$F66))</f>
        <v>315.50049440000004</v>
      </c>
      <c r="I99" s="58">
        <f>IF($E$45&lt;I96,0,H99*(1+$F67))</f>
        <v>364.71857152640001</v>
      </c>
      <c r="J99" s="58">
        <f>IF($E$45&lt;J96,0,I99*(1+$F68))</f>
        <v>404.10817725125122</v>
      </c>
      <c r="K99" s="58">
        <f>IF($E$45&lt;K96,0,J99*(1+$F69))</f>
        <v>428.3546678863263</v>
      </c>
      <c r="L99" s="58">
        <f>IF($E$45&lt;L96,0,K99*(1+$F70))</f>
        <v>454.05594795950589</v>
      </c>
      <c r="M99" s="37">
        <f>(C99*$C$109+D99*$D$109+E99*$E$109+F99*$F$109+G99*$G$109+H99*$H$109+I99*$I$109+J99*$J$109+K99*$K$109+L99*$L$109)*(1+E72)</f>
        <v>481.29930483707625</v>
      </c>
    </row>
    <row r="100" spans="2:14" s="8" customFormat="1" ht="19.95" customHeight="1">
      <c r="B100" s="8" t="s">
        <v>66</v>
      </c>
      <c r="C100" s="58">
        <f t="shared" ref="C100:L100" si="3">IF($E$45&lt;C96,0,C97-C98-C99)</f>
        <v>-480.20833333333286</v>
      </c>
      <c r="D100" s="58">
        <f t="shared" si="3"/>
        <v>-219.03333333333313</v>
      </c>
      <c r="E100" s="58">
        <f t="shared" si="3"/>
        <v>-161</v>
      </c>
      <c r="F100" s="58">
        <f t="shared" si="3"/>
        <v>-62.693749999999284</v>
      </c>
      <c r="G100" s="58">
        <f t="shared" si="3"/>
        <v>119.13265000000041</v>
      </c>
      <c r="H100" s="58">
        <f t="shared" si="3"/>
        <v>543.51830260000065</v>
      </c>
      <c r="I100" s="58">
        <f t="shared" si="3"/>
        <v>1129.2105629896018</v>
      </c>
      <c r="J100" s="58">
        <f t="shared" si="3"/>
        <v>1322.873902249245</v>
      </c>
      <c r="K100" s="58">
        <f t="shared" si="3"/>
        <v>2073.9095205345452</v>
      </c>
      <c r="L100" s="58">
        <f t="shared" si="3"/>
        <v>2822.4382187609999</v>
      </c>
      <c r="M100" s="37">
        <f>M97-M98-M99</f>
        <v>3653.324286500706</v>
      </c>
    </row>
    <row r="101" spans="2:14" s="8" customFormat="1" ht="19.95" customHeight="1">
      <c r="B101" s="8" t="s">
        <v>67</v>
      </c>
      <c r="C101" s="58">
        <f>IF(C100&gt;0,IF(D33&gt;C100,0,(C100-D33)*$D$27),0)</f>
        <v>0</v>
      </c>
      <c r="D101" s="58">
        <f t="shared" ref="D101:M101" si="4">IF(D100&gt;0,IF(C108&gt;D100,0,(D100-C108)*$D$27),0)</f>
        <v>0</v>
      </c>
      <c r="E101" s="58">
        <f t="shared" si="4"/>
        <v>0</v>
      </c>
      <c r="F101" s="58">
        <f t="shared" si="4"/>
        <v>0</v>
      </c>
      <c r="G101" s="58">
        <f t="shared" si="4"/>
        <v>0</v>
      </c>
      <c r="H101" s="58">
        <f t="shared" si="4"/>
        <v>0</v>
      </c>
      <c r="I101" s="58">
        <f t="shared" si="4"/>
        <v>0</v>
      </c>
      <c r="J101" s="58">
        <f t="shared" si="4"/>
        <v>242.1300004102639</v>
      </c>
      <c r="K101" s="58">
        <f t="shared" si="4"/>
        <v>725.8683321870908</v>
      </c>
      <c r="L101" s="58">
        <f t="shared" si="4"/>
        <v>987.85337656634988</v>
      </c>
      <c r="M101" s="58">
        <f t="shared" si="4"/>
        <v>1278.6635002752471</v>
      </c>
    </row>
    <row r="102" spans="2:14" s="8" customFormat="1" ht="19.95" customHeight="1">
      <c r="B102" s="8" t="s">
        <v>68</v>
      </c>
      <c r="C102" s="58">
        <f t="shared" ref="C102:M102" si="5">C100-C101</f>
        <v>-480.20833333333286</v>
      </c>
      <c r="D102" s="58">
        <f t="shared" si="5"/>
        <v>-219.03333333333313</v>
      </c>
      <c r="E102" s="58">
        <f t="shared" si="5"/>
        <v>-161</v>
      </c>
      <c r="F102" s="58">
        <f t="shared" si="5"/>
        <v>-62.693749999999284</v>
      </c>
      <c r="G102" s="58">
        <f t="shared" si="5"/>
        <v>119.13265000000041</v>
      </c>
      <c r="H102" s="58">
        <f t="shared" si="5"/>
        <v>543.51830260000065</v>
      </c>
      <c r="I102" s="58">
        <f t="shared" si="5"/>
        <v>1129.2105629896018</v>
      </c>
      <c r="J102" s="58">
        <f t="shared" si="5"/>
        <v>1080.7439018389812</v>
      </c>
      <c r="K102" s="58">
        <f t="shared" si="5"/>
        <v>1348.0411883474544</v>
      </c>
      <c r="L102" s="58">
        <f t="shared" si="5"/>
        <v>1834.58484219465</v>
      </c>
      <c r="M102" s="37">
        <f t="shared" si="5"/>
        <v>2374.6607862254587</v>
      </c>
    </row>
    <row r="103" spans="2:14" s="8" customFormat="1" ht="19.95" customHeight="1">
      <c r="B103" s="8" t="s">
        <v>69</v>
      </c>
      <c r="C103" s="58">
        <f t="shared" ref="C103:M103" si="6">C99</f>
        <v>61.333333333333329</v>
      </c>
      <c r="D103" s="58">
        <f t="shared" si="6"/>
        <v>107.33333333333333</v>
      </c>
      <c r="E103" s="58">
        <f t="shared" si="6"/>
        <v>161</v>
      </c>
      <c r="F103" s="58">
        <f t="shared" si="6"/>
        <v>209.3</v>
      </c>
      <c r="G103" s="58">
        <f t="shared" si="6"/>
        <v>262.04360000000003</v>
      </c>
      <c r="H103" s="58">
        <f t="shared" si="6"/>
        <v>315.50049440000004</v>
      </c>
      <c r="I103" s="58">
        <f t="shared" si="6"/>
        <v>364.71857152640001</v>
      </c>
      <c r="J103" s="58">
        <f t="shared" si="6"/>
        <v>404.10817725125122</v>
      </c>
      <c r="K103" s="58">
        <f t="shared" si="6"/>
        <v>428.3546678863263</v>
      </c>
      <c r="L103" s="58">
        <f t="shared" si="6"/>
        <v>454.05594795950589</v>
      </c>
      <c r="M103" s="37">
        <f t="shared" si="6"/>
        <v>481.29930483707625</v>
      </c>
    </row>
    <row r="104" spans="2:14" s="8" customFormat="1" ht="19.95" customHeight="1">
      <c r="B104" s="8" t="s">
        <v>70</v>
      </c>
      <c r="C104" s="58">
        <f>IF($E$45&lt;C96,0,D25*(1+E61))</f>
        <v>424.66666666666663</v>
      </c>
      <c r="D104" s="37">
        <f>IF($E$45&lt;D96,0,C104*(1+$E62))</f>
        <v>637</v>
      </c>
      <c r="E104" s="37">
        <f>IF($E$45&lt;E96,0,D104*(1+$E63))</f>
        <v>828.1</v>
      </c>
      <c r="F104" s="37">
        <f>IF($E$45&lt;F96,0,E104*(1+$E64))</f>
        <v>1036.7812000000001</v>
      </c>
      <c r="G104" s="37">
        <f>IF($E$45&lt;G96,0,F104*(1+$E65))</f>
        <v>1248.2845648</v>
      </c>
      <c r="H104" s="37">
        <f>IF($E$45&lt;H96,0,G104*(1+$E66))</f>
        <v>1443.0169569087998</v>
      </c>
      <c r="I104" s="37">
        <f>IF($E$45&lt;I96,0,H104*(1+$E67))</f>
        <v>1598.8627882549504</v>
      </c>
      <c r="J104" s="37">
        <f>IF($E$45&lt;J96,0,I104*(1+$E68))</f>
        <v>1694.7945555502474</v>
      </c>
      <c r="K104" s="37">
        <f>IF($E$45&lt;K96,0,J104*(1+$E69))</f>
        <v>1796.4822288832625</v>
      </c>
      <c r="L104" s="37">
        <f>IF($E$45&lt;L96,0,K104*(1+$E70))</f>
        <v>1904.2711626162584</v>
      </c>
      <c r="M104" s="37">
        <f>IF(F86="Yes",M103,M103*F87)</f>
        <v>529.42923532078396</v>
      </c>
    </row>
    <row r="105" spans="2:14" s="8" customFormat="1" ht="19.95" customHeight="1">
      <c r="B105" s="8" t="s">
        <v>71</v>
      </c>
      <c r="C105" s="58">
        <f>IF($E$45&lt;C96,0,($D$28*(1+$C61)-$D$28)*$G$61)</f>
        <v>50.265000000000001</v>
      </c>
      <c r="D105" s="58">
        <f>IF($E$45&lt;D96,0,(D97-C97)*$G62)</f>
        <v>83.774999999999991</v>
      </c>
      <c r="E105" s="58">
        <f>IF($E$45&lt;E96,0,(E97-D97)*$G63)</f>
        <v>125.66249999999999</v>
      </c>
      <c r="F105" s="58">
        <f>IF($E$45&lt;F96,0,(F97-E97)*$G64)</f>
        <v>146.60624999999999</v>
      </c>
      <c r="G105" s="58">
        <f>IF($E$45&lt;G96,0,(G97-F97)*$G65)</f>
        <v>131.94562500000001</v>
      </c>
      <c r="H105" s="58">
        <f>IF($E$45&lt;H96,0,(H97-G97)*$G66)</f>
        <v>144.08462249999997</v>
      </c>
      <c r="I105" s="58">
        <f>IF($E$45&lt;I96,0,(I97-H97)*$G67)</f>
        <v>146.03319548999991</v>
      </c>
      <c r="J105" s="58">
        <f>IF($E$45&lt;J96,0,(J97-I97)*$G68)</f>
        <v>134.45362210643995</v>
      </c>
      <c r="K105" s="58">
        <f>IF($E$45&lt;K96,0,(K97-J97)*$G69)</f>
        <v>107.60426803041562</v>
      </c>
      <c r="L105" s="58">
        <f>IF($E$45&lt;L96,0,(L97-K97)*$G70)</f>
        <v>66.236404987611451</v>
      </c>
      <c r="M105" s="37">
        <f>(M97-(C97*$C$109+D97*$D$109+E97*$E$109+F97*$F$109+G97*$G$109+H97*$H$109+I97*$I$109+J97*$J$109+K97*$K$109+L97*$L$109))*E74</f>
        <v>70.210589286867972</v>
      </c>
    </row>
    <row r="106" spans="2:14" s="8" customFormat="1" ht="19.95" customHeight="1">
      <c r="B106" s="8" t="s">
        <v>72</v>
      </c>
      <c r="C106" s="58">
        <f t="shared" ref="C106:M106" si="7">C102+C103-C104-C105</f>
        <v>-893.80666666666616</v>
      </c>
      <c r="D106" s="58">
        <f t="shared" si="7"/>
        <v>-832.4749999999998</v>
      </c>
      <c r="E106" s="58">
        <f t="shared" si="7"/>
        <v>-953.76250000000005</v>
      </c>
      <c r="F106" s="58">
        <f t="shared" si="7"/>
        <v>-1036.7811999999994</v>
      </c>
      <c r="G106" s="58">
        <f t="shared" si="7"/>
        <v>-999.05393979999963</v>
      </c>
      <c r="H106" s="58">
        <f t="shared" si="7"/>
        <v>-728.08278240879918</v>
      </c>
      <c r="I106" s="58">
        <f t="shared" si="7"/>
        <v>-250.96684922894849</v>
      </c>
      <c r="J106" s="58">
        <f t="shared" si="7"/>
        <v>-344.39609856645507</v>
      </c>
      <c r="K106" s="58">
        <f t="shared" si="7"/>
        <v>-127.69064067989737</v>
      </c>
      <c r="L106" s="58">
        <f t="shared" si="7"/>
        <v>318.13322255028629</v>
      </c>
      <c r="M106" s="37">
        <f t="shared" si="7"/>
        <v>2256.320266454883</v>
      </c>
      <c r="N106" s="38"/>
    </row>
    <row r="107" spans="2:14" s="8" customFormat="1" ht="19.95" customHeight="1">
      <c r="B107" s="8" t="s">
        <v>73</v>
      </c>
      <c r="C107" s="37">
        <f t="shared" ref="C107:L107" si="8">IF($E$45&lt;C96,0,C106/C118)</f>
        <v>-792.33083125940948</v>
      </c>
      <c r="D107" s="37">
        <f t="shared" si="8"/>
        <v>-654.17980346323122</v>
      </c>
      <c r="E107" s="37">
        <f t="shared" si="8"/>
        <v>-664.39926095116869</v>
      </c>
      <c r="F107" s="37">
        <f t="shared" si="8"/>
        <v>-640.23435883151342</v>
      </c>
      <c r="G107" s="37">
        <f t="shared" si="8"/>
        <v>-546.89476536239874</v>
      </c>
      <c r="H107" s="37">
        <f t="shared" si="8"/>
        <v>-355.43397281835735</v>
      </c>
      <c r="I107" s="37">
        <f t="shared" si="8"/>
        <v>-109.89317673232217</v>
      </c>
      <c r="J107" s="37">
        <f t="shared" si="8"/>
        <v>-136.0230442130833</v>
      </c>
      <c r="K107" s="37">
        <f t="shared" si="8"/>
        <v>-45.734739097340963</v>
      </c>
      <c r="L107" s="37">
        <f t="shared" si="8"/>
        <v>103.86512373846327</v>
      </c>
      <c r="M107" s="37"/>
      <c r="N107" s="38"/>
    </row>
    <row r="108" spans="2:14" s="8" customFormat="1" ht="19.95" customHeight="1">
      <c r="B108" s="8" t="s">
        <v>36</v>
      </c>
      <c r="C108" s="37">
        <f>IF(D33&gt;0,IF(D33&lt;C100,0,D33-C100),0)</f>
        <v>1980.2083333333328</v>
      </c>
      <c r="D108" s="37">
        <f>IF(C108&gt;D100,C108-D100,0)</f>
        <v>2199.2416666666659</v>
      </c>
      <c r="E108" s="37">
        <f t="shared" ref="E108:L108" si="9">IF(D108&gt;E100,D108-E100,0)</f>
        <v>2360.2416666666659</v>
      </c>
      <c r="F108" s="37">
        <f t="shared" si="9"/>
        <v>2422.9354166666653</v>
      </c>
      <c r="G108" s="37">
        <f t="shared" si="9"/>
        <v>2303.8027666666649</v>
      </c>
      <c r="H108" s="37">
        <f t="shared" si="9"/>
        <v>1760.2844640666642</v>
      </c>
      <c r="I108" s="37">
        <f t="shared" si="9"/>
        <v>631.07390107706237</v>
      </c>
      <c r="J108" s="37">
        <f t="shared" si="9"/>
        <v>0</v>
      </c>
      <c r="K108" s="37">
        <f t="shared" si="9"/>
        <v>0</v>
      </c>
      <c r="L108" s="37">
        <f t="shared" si="9"/>
        <v>0</v>
      </c>
      <c r="M108" s="37"/>
      <c r="N108" s="38"/>
    </row>
    <row r="109" spans="2:14" s="8" customFormat="1" ht="19.95" customHeight="1">
      <c r="B109" s="8" t="s">
        <v>74</v>
      </c>
      <c r="C109" s="38">
        <f t="shared" ref="C109:L109" si="10">IF($E$45=C96,1,0)</f>
        <v>0</v>
      </c>
      <c r="D109" s="38">
        <f t="shared" si="10"/>
        <v>0</v>
      </c>
      <c r="E109" s="38">
        <f t="shared" si="10"/>
        <v>0</v>
      </c>
      <c r="F109" s="38">
        <f t="shared" si="10"/>
        <v>0</v>
      </c>
      <c r="G109" s="38">
        <f t="shared" si="10"/>
        <v>0</v>
      </c>
      <c r="H109" s="38">
        <f t="shared" si="10"/>
        <v>0</v>
      </c>
      <c r="I109" s="38">
        <f t="shared" si="10"/>
        <v>0</v>
      </c>
      <c r="J109" s="38">
        <f t="shared" si="10"/>
        <v>0</v>
      </c>
      <c r="K109" s="38">
        <f t="shared" si="10"/>
        <v>0</v>
      </c>
      <c r="L109" s="38">
        <f t="shared" si="10"/>
        <v>1</v>
      </c>
      <c r="M109" s="37"/>
      <c r="N109" s="38"/>
    </row>
    <row r="110" spans="2:14" s="8" customFormat="1" ht="19.95" customHeight="1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</row>
    <row r="111" spans="2:14" s="8" customFormat="1" ht="19.95" customHeight="1">
      <c r="B111" s="35" t="s">
        <v>146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</row>
    <row r="112" spans="2:14" s="8" customFormat="1" ht="19.95" customHeight="1">
      <c r="B112" s="8" t="s">
        <v>155</v>
      </c>
      <c r="C112" s="59">
        <f>C101/C100</f>
        <v>0</v>
      </c>
      <c r="D112" s="59">
        <f t="shared" ref="D112:M112" si="11">D101/D100</f>
        <v>0</v>
      </c>
      <c r="E112" s="59">
        <f t="shared" si="11"/>
        <v>0</v>
      </c>
      <c r="F112" s="59">
        <f t="shared" si="11"/>
        <v>0</v>
      </c>
      <c r="G112" s="59">
        <f t="shared" si="11"/>
        <v>0</v>
      </c>
      <c r="H112" s="59">
        <f t="shared" si="11"/>
        <v>0</v>
      </c>
      <c r="I112" s="59">
        <f t="shared" si="11"/>
        <v>0</v>
      </c>
      <c r="J112" s="59">
        <f t="shared" si="11"/>
        <v>0.18303331859414348</v>
      </c>
      <c r="K112" s="59">
        <f t="shared" si="11"/>
        <v>0.35</v>
      </c>
      <c r="L112" s="59">
        <f t="shared" si="11"/>
        <v>0.35</v>
      </c>
      <c r="M112" s="59">
        <f t="shared" si="11"/>
        <v>0.35</v>
      </c>
      <c r="N112" s="38"/>
    </row>
    <row r="113" spans="2:14" s="8" customFormat="1" ht="19.95" customHeight="1">
      <c r="B113" s="8" t="s">
        <v>80</v>
      </c>
      <c r="C113" s="39">
        <f>IF(E48="No",D51,)</f>
        <v>1.6</v>
      </c>
      <c r="D113" s="39">
        <f>C113</f>
        <v>1.6</v>
      </c>
      <c r="E113" s="39">
        <f>D113</f>
        <v>1.6</v>
      </c>
      <c r="F113" s="39">
        <f>E113</f>
        <v>1.6</v>
      </c>
      <c r="G113" s="39">
        <f>F113</f>
        <v>1.6</v>
      </c>
      <c r="H113" s="39">
        <f>IF($E$76="Yes",$G$113-(($G$113-$E$77)/5)*(H96-5),$D$51)</f>
        <v>1.48</v>
      </c>
      <c r="I113" s="39">
        <f>IF($E$76="Yes",$G$113-(($G$113-$E$77)/5)*(I96-5),$D$51)</f>
        <v>1.36</v>
      </c>
      <c r="J113" s="39">
        <f>IF($E$76="Yes",$G$113-(($G$113-$E$77)/5)*(J96-5),$D$51)</f>
        <v>1.24</v>
      </c>
      <c r="K113" s="39">
        <f>IF($E$76="Yes",$G$113-(($G$113-$E$77)/5)*(K96-5),$D$51)</f>
        <v>1.1200000000000001</v>
      </c>
      <c r="L113" s="39">
        <f>IF($E$76="Yes",$G$113-(($G$113-$E$77)/5)*(L96-5),$D$51)</f>
        <v>1</v>
      </c>
      <c r="M113" s="39">
        <f>L113</f>
        <v>1</v>
      </c>
      <c r="N113" s="38"/>
    </row>
    <row r="114" spans="2:14" s="8" customFormat="1" ht="19.95" customHeight="1">
      <c r="B114" s="8" t="s">
        <v>147</v>
      </c>
      <c r="C114" s="41">
        <f>IF($E$48="no",$D$52+C113*$D$53,$E$49)</f>
        <v>0.129</v>
      </c>
      <c r="D114" s="41">
        <f t="shared" ref="D114:M114" si="12">IF($E$48="no",$D$52+D113*$D$53,$E$49)</f>
        <v>0.129</v>
      </c>
      <c r="E114" s="41">
        <f t="shared" si="12"/>
        <v>0.129</v>
      </c>
      <c r="F114" s="41">
        <f t="shared" si="12"/>
        <v>0.129</v>
      </c>
      <c r="G114" s="41">
        <f t="shared" si="12"/>
        <v>0.129</v>
      </c>
      <c r="H114" s="41">
        <f t="shared" si="12"/>
        <v>0.1242</v>
      </c>
      <c r="I114" s="41">
        <f t="shared" si="12"/>
        <v>0.11940000000000001</v>
      </c>
      <c r="J114" s="41">
        <f t="shared" si="12"/>
        <v>0.11460000000000001</v>
      </c>
      <c r="K114" s="41">
        <f t="shared" si="12"/>
        <v>0.10980000000000001</v>
      </c>
      <c r="L114" s="41">
        <f t="shared" si="12"/>
        <v>0.10500000000000001</v>
      </c>
      <c r="M114" s="41">
        <f t="shared" si="12"/>
        <v>0.10500000000000001</v>
      </c>
      <c r="N114" s="38"/>
    </row>
    <row r="115" spans="2:14" s="8" customFormat="1" ht="19.95" customHeight="1">
      <c r="B115" s="8" t="s">
        <v>148</v>
      </c>
      <c r="C115" s="40">
        <f t="shared" ref="C115:L115" si="13">$E$83*(1-$D$27)</f>
        <v>5.2000000000000005E-2</v>
      </c>
      <c r="D115" s="40">
        <f t="shared" si="13"/>
        <v>5.2000000000000005E-2</v>
      </c>
      <c r="E115" s="40">
        <f t="shared" si="13"/>
        <v>5.2000000000000005E-2</v>
      </c>
      <c r="F115" s="40">
        <f t="shared" si="13"/>
        <v>5.2000000000000005E-2</v>
      </c>
      <c r="G115" s="40">
        <f t="shared" si="13"/>
        <v>5.2000000000000005E-2</v>
      </c>
      <c r="H115" s="40">
        <f t="shared" si="13"/>
        <v>5.2000000000000005E-2</v>
      </c>
      <c r="I115" s="40">
        <f t="shared" si="13"/>
        <v>5.2000000000000005E-2</v>
      </c>
      <c r="J115" s="40">
        <f t="shared" si="13"/>
        <v>5.2000000000000005E-2</v>
      </c>
      <c r="K115" s="40">
        <f t="shared" si="13"/>
        <v>5.2000000000000005E-2</v>
      </c>
      <c r="L115" s="40">
        <f t="shared" si="13"/>
        <v>5.2000000000000005E-2</v>
      </c>
      <c r="M115" s="40">
        <f>L115</f>
        <v>5.2000000000000005E-2</v>
      </c>
      <c r="N115" s="38"/>
    </row>
    <row r="116" spans="2:14" s="8" customFormat="1" ht="19.95" customHeight="1">
      <c r="B116" s="8" t="s">
        <v>149</v>
      </c>
      <c r="C116" s="40">
        <f>$D$93</f>
        <v>1.2044716614392326E-2</v>
      </c>
      <c r="D116" s="40">
        <f>$D$93</f>
        <v>1.2044716614392326E-2</v>
      </c>
      <c r="E116" s="40">
        <f>$D$93</f>
        <v>1.2044716614392326E-2</v>
      </c>
      <c r="F116" s="40">
        <f>$D$93</f>
        <v>1.2044716614392326E-2</v>
      </c>
      <c r="G116" s="40">
        <f>$D$93</f>
        <v>1.2044716614392326E-2</v>
      </c>
      <c r="H116" s="41">
        <f>IF($F$79="Yes",$G$116-(($G$116-$F$80)/5)*(H96-5),$D$93)</f>
        <v>3.9635773291513861E-2</v>
      </c>
      <c r="I116" s="41">
        <f>IF($F$79="Yes",$G$116-(($G$116-$F$80)/5)*(I96-5),$D$93)</f>
        <v>6.7226829968635396E-2</v>
      </c>
      <c r="J116" s="41">
        <f>IF($F$79="Yes",$G$116-(($G$116-$F$80)/5)*(J96-5),$D$93)</f>
        <v>9.4817886645756938E-2</v>
      </c>
      <c r="K116" s="41">
        <f>IF($F$79="Yes",$G$116-(($G$116-$F$80)/5)*(K96-5),$D$93)</f>
        <v>0.12240894332287847</v>
      </c>
      <c r="L116" s="41">
        <f>IF($F$79="Yes",$G$116-(($G$116-$F$80)/5)*(L96-5),$D$93)</f>
        <v>0.15</v>
      </c>
      <c r="M116" s="40">
        <f>L116</f>
        <v>0.15</v>
      </c>
      <c r="N116" s="38"/>
    </row>
    <row r="117" spans="2:14" s="8" customFormat="1" ht="19.95" customHeight="1">
      <c r="B117" s="8" t="s">
        <v>150</v>
      </c>
      <c r="C117" s="40">
        <f t="shared" ref="C117:M117" si="14">C114*(1-C116)+C115*C116</f>
        <v>0.1280725568206918</v>
      </c>
      <c r="D117" s="40">
        <f t="shared" si="14"/>
        <v>0.1280725568206918</v>
      </c>
      <c r="E117" s="40">
        <f t="shared" si="14"/>
        <v>0.1280725568206918</v>
      </c>
      <c r="F117" s="40">
        <f t="shared" si="14"/>
        <v>0.1280725568206918</v>
      </c>
      <c r="G117" s="40">
        <f t="shared" si="14"/>
        <v>0.1280725568206918</v>
      </c>
      <c r="H117" s="40">
        <f t="shared" si="14"/>
        <v>0.12133829716835269</v>
      </c>
      <c r="I117" s="40">
        <f t="shared" si="14"/>
        <v>0.11486891166011398</v>
      </c>
      <c r="J117" s="40">
        <f t="shared" si="14"/>
        <v>0.10866440029597563</v>
      </c>
      <c r="K117" s="40">
        <f t="shared" si="14"/>
        <v>0.10272476307593764</v>
      </c>
      <c r="L117" s="40">
        <f t="shared" si="14"/>
        <v>9.7050000000000011E-2</v>
      </c>
      <c r="M117" s="40">
        <f t="shared" si="14"/>
        <v>9.7050000000000011E-2</v>
      </c>
      <c r="N117" s="38"/>
    </row>
    <row r="118" spans="2:14" s="8" customFormat="1" ht="19.95" customHeight="1">
      <c r="B118" s="8" t="s">
        <v>151</v>
      </c>
      <c r="C118" s="60">
        <f>1+C117</f>
        <v>1.1280725568206917</v>
      </c>
      <c r="D118" s="60">
        <f t="shared" ref="D118:L118" si="15">C118*(1+D117)</f>
        <v>1.2725476934519728</v>
      </c>
      <c r="E118" s="60">
        <f t="shared" si="15"/>
        <v>1.4355261302286408</v>
      </c>
      <c r="F118" s="60">
        <f t="shared" si="15"/>
        <v>1.6193776321099362</v>
      </c>
      <c r="G118" s="60">
        <f t="shared" si="15"/>
        <v>1.8267754659124933</v>
      </c>
      <c r="H118" s="60">
        <f t="shared" si="15"/>
        <v>2.0484332902552396</v>
      </c>
      <c r="I118" s="60">
        <f t="shared" si="15"/>
        <v>2.2837345929152053</v>
      </c>
      <c r="J118" s="60">
        <f t="shared" si="15"/>
        <v>2.5318952428895098</v>
      </c>
      <c r="K118" s="60">
        <f t="shared" si="15"/>
        <v>2.7919835818484282</v>
      </c>
      <c r="L118" s="60">
        <f t="shared" si="15"/>
        <v>3.0629455884668184</v>
      </c>
      <c r="M118" s="38"/>
      <c r="N118" s="38"/>
    </row>
    <row r="119" spans="2:14" s="8" customFormat="1" ht="19.95" customHeight="1"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2:14" s="8" customFormat="1" ht="19.95" customHeight="1">
      <c r="B120" s="8" t="s">
        <v>75</v>
      </c>
      <c r="E120" s="50">
        <f>E72</f>
        <v>0.06</v>
      </c>
      <c r="F120" s="38"/>
    </row>
    <row r="121" spans="2:14" s="8" customFormat="1" ht="19.95" customHeight="1">
      <c r="B121" s="8" t="s">
        <v>76</v>
      </c>
      <c r="E121" s="43">
        <f>M106</f>
        <v>2256.320266454883</v>
      </c>
      <c r="F121" s="38"/>
    </row>
    <row r="122" spans="2:14" s="8" customFormat="1" ht="19.95" customHeight="1">
      <c r="B122" s="8" t="s">
        <v>77</v>
      </c>
      <c r="E122" s="50">
        <f>IF(E76="No",D52+D51*D53,D52+E77*D53)</f>
        <v>0.10500000000000001</v>
      </c>
      <c r="F122" s="38"/>
    </row>
    <row r="123" spans="2:14" s="8" customFormat="1" ht="19.95" customHeight="1">
      <c r="B123" s="8" t="s">
        <v>78</v>
      </c>
      <c r="E123" s="50">
        <f>IF(F79="Yes",1-F80,D91)</f>
        <v>0.85</v>
      </c>
      <c r="F123" s="38"/>
    </row>
    <row r="124" spans="2:14" s="8" customFormat="1" ht="19.95" customHeight="1">
      <c r="B124" s="8" t="s">
        <v>79</v>
      </c>
      <c r="E124" s="50">
        <f>IF(E82="Yes",E83*(1-D27),D92)</f>
        <v>5.2000000000000005E-2</v>
      </c>
      <c r="F124" s="38"/>
    </row>
    <row r="125" spans="2:14" s="8" customFormat="1" ht="19.95" customHeight="1">
      <c r="B125" s="8" t="s">
        <v>85</v>
      </c>
      <c r="E125" s="50">
        <f>1-E123</f>
        <v>0.15000000000000002</v>
      </c>
      <c r="F125" s="38"/>
    </row>
    <row r="126" spans="2:14" s="8" customFormat="1" ht="19.95" customHeight="1">
      <c r="B126" s="8" t="s">
        <v>86</v>
      </c>
      <c r="E126" s="50">
        <f>E122*E123+E124*E125</f>
        <v>9.7050000000000011E-2</v>
      </c>
      <c r="F126" s="38"/>
    </row>
    <row r="127" spans="2:14" s="11" customFormat="1" ht="19.95" customHeight="1">
      <c r="B127" s="8" t="s">
        <v>87</v>
      </c>
      <c r="C127" s="8"/>
      <c r="D127" s="8"/>
      <c r="E127" s="43">
        <f>E121/(E126-E120)</f>
        <v>60899.332427932044</v>
      </c>
      <c r="F127" s="61"/>
    </row>
    <row r="128" spans="2:14" s="8" customFormat="1" ht="19.95" customHeight="1">
      <c r="E128" s="38"/>
      <c r="F128" s="38"/>
    </row>
    <row r="129" spans="2:6" s="8" customFormat="1" ht="19.95" customHeight="1">
      <c r="B129" s="11" t="s">
        <v>88</v>
      </c>
      <c r="C129" s="11"/>
      <c r="D129" s="11"/>
      <c r="E129" s="61"/>
      <c r="F129" s="62">
        <f>SUM(C107:L107)</f>
        <v>-3841.2588289903615</v>
      </c>
    </row>
    <row r="130" spans="2:6" s="8" customFormat="1" ht="19.95" customHeight="1">
      <c r="B130" s="11" t="s">
        <v>89</v>
      </c>
      <c r="C130" s="11"/>
      <c r="D130" s="11"/>
      <c r="E130" s="61"/>
      <c r="F130" s="62">
        <f>E127/L118</f>
        <v>19882.603418500712</v>
      </c>
    </row>
    <row r="131" spans="2:6" s="8" customFormat="1" ht="19.95" customHeight="1">
      <c r="B131" s="11" t="s">
        <v>90</v>
      </c>
      <c r="C131" s="11"/>
      <c r="D131" s="11"/>
      <c r="E131" s="61"/>
      <c r="F131" s="62">
        <f>F129+F130</f>
        <v>16041.34458951035</v>
      </c>
    </row>
    <row r="132" spans="2:6" s="8" customFormat="1" ht="19.95" customHeight="1">
      <c r="B132" s="11" t="s">
        <v>91</v>
      </c>
      <c r="C132" s="11"/>
      <c r="D132" s="11"/>
      <c r="E132" s="61"/>
      <c r="F132" s="63">
        <f>IF(F36="Yes",F40,D31)</f>
        <v>349</v>
      </c>
    </row>
    <row r="133" spans="2:6" s="8" customFormat="1" ht="19.95" customHeight="1">
      <c r="B133" s="11" t="s">
        <v>92</v>
      </c>
      <c r="C133" s="11"/>
      <c r="D133" s="11"/>
      <c r="E133" s="11"/>
      <c r="F133" s="63">
        <f>F131-F132</f>
        <v>15692.34458951035</v>
      </c>
    </row>
    <row r="134" spans="2:6" s="8" customFormat="1" ht="19.95" customHeight="1">
      <c r="B134" s="11" t="s">
        <v>114</v>
      </c>
      <c r="C134" s="11"/>
      <c r="D134" s="11"/>
      <c r="E134" s="11"/>
      <c r="F134" s="63">
        <f ca="1">'Option Valuation'!C28</f>
        <v>2891.9390889211436</v>
      </c>
    </row>
    <row r="135" spans="2:6" s="8" customFormat="1" ht="19.95" customHeight="1">
      <c r="B135" s="11" t="s">
        <v>115</v>
      </c>
      <c r="C135" s="11"/>
      <c r="D135" s="11"/>
      <c r="E135" s="11"/>
      <c r="F135" s="63">
        <f ca="1">F133-F134</f>
        <v>12800.405500589208</v>
      </c>
    </row>
    <row r="136" spans="2:6" s="8" customFormat="1" ht="18" customHeight="1">
      <c r="B136" s="11" t="s">
        <v>37</v>
      </c>
      <c r="F136" s="63">
        <f ca="1">F135/F39</f>
        <v>37.560977436512829</v>
      </c>
    </row>
  </sheetData>
  <printOptions gridLinesSet="0"/>
  <pageMargins left="0.75" right="0.75" top="1" bottom="1" header="0.5" footer="0.5"/>
  <pageSetup orientation="portrait" horizontalDpi="4294967292" verticalDpi="4294967292"/>
  <headerFooter alignWithMargins="0">
    <oddHeader>&amp;C General FCFF Discount Model</oddHeader>
    <oddFooter>Page &amp;p</oddFooter>
  </headerFooter>
  <rowBreaks count="3" manualBreakCount="3">
    <brk id="19" max="65535" man="1"/>
    <brk id="88" max="65535" man="1"/>
    <brk id="96" max="65535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Sheet1</vt:lpstr>
      <vt:lpstr>Option Valuation</vt:lpstr>
      <vt:lpstr>What-If</vt:lpstr>
      <vt:lpstr>The Valuation of Amazon</vt:lpstr>
      <vt:lpstr>RevGrowthChart</vt:lpstr>
      <vt:lpstr>MarginChart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Iweze</cp:lastModifiedBy>
  <cp:lastPrinted>1999-12-30T17:19:28Z</cp:lastPrinted>
  <dcterms:created xsi:type="dcterms:W3CDTF">1999-01-04T22:23:00Z</dcterms:created>
  <dcterms:modified xsi:type="dcterms:W3CDTF">2023-12-23T17:38:15Z</dcterms:modified>
</cp:coreProperties>
</file>